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Z:\Shared\EDOVData\Human Resources (MGS)\Clergy Compensation\2026 Compensation Information\"/>
    </mc:Choice>
  </mc:AlternateContent>
  <xr:revisionPtr revIDLastSave="0" documentId="13_ncr:1_{6EFC591A-B499-4F74-AC40-AD0F6EA6D486}" xr6:coauthVersionLast="47" xr6:coauthVersionMax="47" xr10:uidLastSave="{00000000-0000-0000-0000-000000000000}"/>
  <bookViews>
    <workbookView xWindow="-120" yWindow="-120" windowWidth="29040" windowHeight="15720" xr2:uid="{9604770B-065E-4912-8D23-F76BCA9EE0B2}"/>
  </bookViews>
  <sheets>
    <sheet name="2026 TCC no rectory" sheetId="7" r:id="rId1"/>
    <sheet name="2026 TCC with rectory" sheetId="10" r:id="rId2"/>
  </sheets>
  <definedNames>
    <definedName name="_xlnm.Print_Titles" localSheetId="0">'2026 TCC no rectory'!$1:$4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63" i="7" l="1"/>
  <c r="B80" i="10"/>
  <c r="Q32" i="10" l="1"/>
  <c r="P32" i="10"/>
  <c r="O32" i="10"/>
  <c r="N32" i="10"/>
  <c r="M32" i="10"/>
  <c r="L32" i="10"/>
  <c r="K32" i="10"/>
  <c r="J32" i="10"/>
  <c r="H32" i="10"/>
  <c r="G32" i="10"/>
  <c r="B32" i="10"/>
  <c r="Q31" i="10"/>
  <c r="P31" i="10"/>
  <c r="O31" i="10"/>
  <c r="N31" i="10"/>
  <c r="M31" i="10"/>
  <c r="L31" i="10"/>
  <c r="K31" i="10"/>
  <c r="J31" i="10"/>
  <c r="H31" i="10"/>
  <c r="G31" i="10"/>
  <c r="Q30" i="10"/>
  <c r="P30" i="10"/>
  <c r="O30" i="10"/>
  <c r="N30" i="10"/>
  <c r="M30" i="10"/>
  <c r="L30" i="10"/>
  <c r="K30" i="10"/>
  <c r="J30" i="10"/>
  <c r="H30" i="10"/>
  <c r="G30" i="10"/>
  <c r="B30" i="10"/>
  <c r="Q29" i="10"/>
  <c r="P29" i="10"/>
  <c r="O29" i="10"/>
  <c r="N29" i="10"/>
  <c r="M29" i="10"/>
  <c r="L29" i="10"/>
  <c r="K29" i="10"/>
  <c r="J29" i="10"/>
  <c r="H29" i="10"/>
  <c r="G29" i="10"/>
  <c r="B29" i="10"/>
  <c r="B20" i="10"/>
  <c r="B60" i="10" s="1"/>
  <c r="B9" i="10"/>
  <c r="B8" i="10"/>
  <c r="B8" i="7"/>
  <c r="B10" i="10" l="1"/>
  <c r="B48" i="10" s="1"/>
  <c r="B33" i="10"/>
  <c r="B49" i="10"/>
  <c r="B39" i="7"/>
  <c r="Q29" i="7"/>
  <c r="P29" i="7"/>
  <c r="O29" i="7"/>
  <c r="N29" i="7"/>
  <c r="M29" i="7"/>
  <c r="L29" i="7"/>
  <c r="K29" i="7"/>
  <c r="J29" i="7"/>
  <c r="H29" i="7"/>
  <c r="G29" i="7"/>
  <c r="B29" i="7"/>
  <c r="Q28" i="7"/>
  <c r="P28" i="7"/>
  <c r="O28" i="7"/>
  <c r="N28" i="7"/>
  <c r="M28" i="7"/>
  <c r="L28" i="7"/>
  <c r="K28" i="7"/>
  <c r="J28" i="7"/>
  <c r="H28" i="7"/>
  <c r="G28" i="7"/>
  <c r="Q27" i="7"/>
  <c r="P27" i="7"/>
  <c r="O27" i="7"/>
  <c r="N27" i="7"/>
  <c r="M27" i="7"/>
  <c r="L27" i="7"/>
  <c r="K27" i="7"/>
  <c r="J27" i="7"/>
  <c r="H27" i="7"/>
  <c r="G27" i="7"/>
  <c r="B27" i="7"/>
  <c r="Q26" i="7"/>
  <c r="P26" i="7"/>
  <c r="O26" i="7"/>
  <c r="N26" i="7"/>
  <c r="M26" i="7"/>
  <c r="L26" i="7"/>
  <c r="K26" i="7"/>
  <c r="J26" i="7"/>
  <c r="H26" i="7"/>
  <c r="G26" i="7"/>
  <c r="B26" i="7"/>
  <c r="B19" i="7"/>
  <c r="B54" i="7" s="1"/>
  <c r="B9" i="7"/>
  <c r="B10" i="7" l="1"/>
  <c r="B44" i="7" s="1"/>
  <c r="B30" i="7"/>
  <c r="B45" i="7"/>
  <c r="B46" i="7" l="1"/>
  <c r="B48" i="7" s="1"/>
  <c r="B47" i="7" l="1"/>
  <c r="B49" i="7" s="1"/>
  <c r="B11" i="7" s="1"/>
  <c r="B12" i="7" s="1"/>
  <c r="B53" i="7" s="1"/>
  <c r="B55" i="7" l="1"/>
  <c r="B56" i="7" s="1"/>
  <c r="B22" i="7" s="1"/>
  <c r="B65" i="7"/>
  <c r="B20" i="7"/>
  <c r="B66" i="7" l="1"/>
  <c r="B62" i="7" s="1"/>
  <c r="B41" i="7"/>
  <c r="B52" i="10"/>
  <c r="B54" i="10" s="1"/>
  <c r="B53" i="10" l="1"/>
  <c r="B55" i="10" s="1"/>
  <c r="B11" i="10" s="1"/>
  <c r="B12" i="10" s="1"/>
  <c r="B23" i="10" l="1"/>
  <c r="B68" i="10" s="1"/>
  <c r="B59" i="10"/>
  <c r="B82" i="10"/>
  <c r="B61" i="10" l="1"/>
  <c r="B63" i="10" s="1"/>
  <c r="B43" i="10"/>
  <c r="B71" i="10"/>
  <c r="B73" i="10" s="1"/>
  <c r="B83" i="10"/>
  <c r="B79" i="10" s="1"/>
  <c r="B64" i="10" l="1"/>
  <c r="B25" i="10" s="1"/>
  <c r="B45" i="10" s="1"/>
</calcChain>
</file>

<file path=xl/sharedStrings.xml><?xml version="1.0" encoding="utf-8"?>
<sst xmlns="http://schemas.openxmlformats.org/spreadsheetml/2006/main" count="173" uniqueCount="106">
  <si>
    <t>Health &amp; Dental Insurance</t>
  </si>
  <si>
    <t xml:space="preserve">Single </t>
  </si>
  <si>
    <t>Employee + Spouse</t>
  </si>
  <si>
    <t>Employee + Child</t>
  </si>
  <si>
    <t>Family</t>
  </si>
  <si>
    <t>Total Health &amp; Dental</t>
  </si>
  <si>
    <t>TAC - Total Assessable Compensation</t>
  </si>
  <si>
    <t>Stipend + Years of Experience</t>
  </si>
  <si>
    <t>FICA - 6.2%</t>
  </si>
  <si>
    <t>Medicare - 1.45%</t>
  </si>
  <si>
    <t>Equity Allowance - For Clergy in Church-provided Housing</t>
  </si>
  <si>
    <r>
      <t xml:space="preserve">Health: </t>
    </r>
    <r>
      <rPr>
        <b/>
        <sz val="11"/>
        <color rgb="FFC00000"/>
        <rFont val="Arial"/>
        <family val="2"/>
      </rPr>
      <t>70</t>
    </r>
  </si>
  <si>
    <r>
      <t xml:space="preserve">Health: </t>
    </r>
    <r>
      <rPr>
        <b/>
        <sz val="11"/>
        <color rgb="FFC00000"/>
        <rFont val="Arial"/>
        <family val="2"/>
      </rPr>
      <t>90</t>
    </r>
  </si>
  <si>
    <r>
      <t xml:space="preserve">Health: </t>
    </r>
    <r>
      <rPr>
        <b/>
        <sz val="11"/>
        <color rgb="FFC00000"/>
        <rFont val="Arial"/>
        <family val="2"/>
      </rPr>
      <t>100</t>
    </r>
  </si>
  <si>
    <t>MINIMUM REQUIRED</t>
  </si>
  <si>
    <t>$500 Annual Experience Increase</t>
  </si>
  <si>
    <t>2026 Total Clergy Compensation</t>
  </si>
  <si>
    <t>With rectory  (go to other tab if rectory not provided)</t>
  </si>
  <si>
    <t>Annual Dental Premium Plan</t>
  </si>
  <si>
    <t>Annual Dental Comprehensive Plan</t>
  </si>
  <si>
    <t>Annual HRA Plan</t>
  </si>
  <si>
    <t>Annual Health 80 Plan</t>
  </si>
  <si>
    <t>All Clergy Eligible, must be approved by Vestry</t>
  </si>
  <si>
    <t>Pension Assessment Calculation (auto-calclulated using data above)</t>
  </si>
  <si>
    <t>SECA Calculation (auto-calculated using data above)</t>
  </si>
  <si>
    <t>COLA Increase of 2.7%</t>
  </si>
  <si>
    <t>2026 Benefit Information (clergy under 65 years of age)</t>
  </si>
  <si>
    <t>Annual Health MSP 80 Plan</t>
  </si>
  <si>
    <r>
      <t xml:space="preserve">Health: MSP </t>
    </r>
    <r>
      <rPr>
        <b/>
        <sz val="11"/>
        <color rgb="FFC00000"/>
        <rFont val="Arial"/>
        <family val="2"/>
      </rPr>
      <t>90</t>
    </r>
  </si>
  <si>
    <r>
      <t xml:space="preserve">Health:  MSP </t>
    </r>
    <r>
      <rPr>
        <b/>
        <sz val="11"/>
        <color rgb="FFC00000"/>
        <rFont val="Arial"/>
        <family val="2"/>
      </rPr>
      <t>100</t>
    </r>
  </si>
  <si>
    <r>
      <t xml:space="preserve">Health:  MSP </t>
    </r>
    <r>
      <rPr>
        <b/>
        <sz val="11"/>
        <color rgb="FFC00000"/>
        <rFont val="Arial"/>
        <family val="2"/>
      </rPr>
      <t>70</t>
    </r>
  </si>
  <si>
    <t>What to Enter into CPG &amp; for 2026 Payroll Processing</t>
  </si>
  <si>
    <t>CPG-MAP/People/Compensation/Scheduled Payment</t>
  </si>
  <si>
    <t>Compensation total for SECA calculation</t>
  </si>
  <si>
    <t>Stipend + Annual Experience Increase +  SECA</t>
  </si>
  <si>
    <t>Calculated Benefit Amount</t>
  </si>
  <si>
    <t>Full Plan Amount from chart on right</t>
  </si>
  <si>
    <t>2026 Health Insurance - Enter figure for single, couple or family 
*Note: select plan from the right, put in full amount in column C</t>
  </si>
  <si>
    <t>2026 Dental Insurance - Enter figure for single, couple or family  
*Note: select plan from the right, put in full amount in column C</t>
  </si>
  <si>
    <t>MINIMUM REQUIRED - Only for people on Medicare</t>
  </si>
  <si>
    <t>Base Salary - Calculates Automatically</t>
  </si>
  <si>
    <t>TCC - Total Clergy Stipend</t>
  </si>
  <si>
    <t>NOTE: If employees want the premium plan, you need to negotiate whether the church will pay the full premium or if the difference is paid by the priest. The same principle must apply to all of  your employees</t>
  </si>
  <si>
    <t>NOTE: If employees want the 90 or 100, you need to negotiate whether the church will pay the full premium or if the difference is paid by the priest. The same principle must apply to all of your employees.</t>
  </si>
  <si>
    <t>NOTE:If employees want the 90 or 100, you need to negotiate whether the church will pay the full premium or if the difference is paid by the priest. The same principle must apply to all of your employees.</t>
  </si>
  <si>
    <t>No rectory  (go to other tab if rectory is provided)</t>
  </si>
  <si>
    <t>Pension Assessment = TAC x 18% ( Populates row above, row 22)</t>
  </si>
  <si>
    <t>SECA Contribution (Will populate above, row 11)</t>
  </si>
  <si>
    <t>Please enter the amounts for your Clergy in cells highlighted in Blue</t>
  </si>
  <si>
    <t>Clergy Compensation - Paid Directly to Clergy</t>
  </si>
  <si>
    <t>% Time of your Clergy (i.e. 100%, 50%, etc.)</t>
  </si>
  <si>
    <t>Other Costs/Benefits - Paid Directly to Clergy</t>
  </si>
  <si>
    <t>Total Other Costs/Benefits - Paid Directly to Clergy</t>
  </si>
  <si>
    <t>TCC - Total Clergy Compensation - Paid Directly to Clergy</t>
  </si>
  <si>
    <t>% of Benefits paid by parish for Clergy &amp; Family</t>
  </si>
  <si>
    <t>Employee Assistance Program (EAP) - enter $48 ($4 x12) if your Clergy is not signing up for medical or dental benefits but would like to enroll in the EAP program.  EAP is automatically provided to anyone enrolling in the CPG medical or dental programs</t>
  </si>
  <si>
    <t>Other Costs/Benefits - Paid by Parish directly to Vendors on behalf of Clergy</t>
  </si>
  <si>
    <t>Total Other Costs/Benefits - Paid by Parish directly to Vendors on behalf of Clergy</t>
  </si>
  <si>
    <t>Other Costs/Benefits Paid Directly to Clergy (eg. utilities, if provided)</t>
  </si>
  <si>
    <t>Other Costs/Benefits Paid Directly to Clergy</t>
  </si>
  <si>
    <r>
      <t xml:space="preserve">HRA (Max </t>
    </r>
    <r>
      <rPr>
        <i/>
        <sz val="11"/>
        <rFont val="Arial"/>
        <family val="2"/>
      </rPr>
      <t>Potential</t>
    </r>
    <r>
      <rPr>
        <sz val="11"/>
        <rFont val="Arial"/>
        <family val="2"/>
      </rPr>
      <t xml:space="preserve"> Cost = $1500 single; $2000 couple or family 
</t>
    </r>
    <r>
      <rPr>
        <b/>
        <sz val="11"/>
        <rFont val="Arial"/>
        <family val="2"/>
      </rPr>
      <t>(for those enrolled in CPG medical insurance plan)</t>
    </r>
  </si>
  <si>
    <r>
      <t xml:space="preserve">HRA (Max </t>
    </r>
    <r>
      <rPr>
        <i/>
        <sz val="11"/>
        <rFont val="Arial"/>
        <family val="2"/>
      </rPr>
      <t>Potential</t>
    </r>
    <r>
      <rPr>
        <sz val="11"/>
        <rFont val="Arial"/>
        <family val="2"/>
      </rPr>
      <t xml:space="preserve"> Cost = $1500 single; $2000 couple or family) 
</t>
    </r>
    <r>
      <rPr>
        <b/>
        <sz val="11"/>
        <rFont val="Arial"/>
        <family val="2"/>
      </rPr>
      <t>(for those enrolled in CPG medical insurance plan)</t>
    </r>
  </si>
  <si>
    <t>Prior Year Clergy Salary (includes housing and COLA from previous year)</t>
  </si>
  <si>
    <t>Equity Allowance Calculation (auto-calclulated using data above)</t>
  </si>
  <si>
    <t>https://www.cpg.org/globalassets/documents/publications/tax-2025-clergy-tax-return-preparation-guide-for-2024-tax-returns.pdf</t>
  </si>
  <si>
    <t xml:space="preserve"> Clergy who live “rent-free” in church-provided housing should have 
a portion of their cash compensation designated by the vestry or 
other church governing body as a parsonage or rectory allowance 
for expenses they pay, such as utilities, repairs, and furnishings. This 
exclusion works like the housing allowance for clergy who own or rent 
their homes. The portion of the fair rental value test that applies is the 
portion not provided by the church. Therefore, if the church provides 
the house and pays the utilities, the value added for furnishings is the 
only relevant amount to be used in determining the amount eligible for 
this allowance.  Clergy who live “rent-free” in church-provided housing that 
is provided as compensation for ministerial services do not include 
the annual fair rental value of church-provided housing as income 
in computing federal income taxes and therefore do not pay federal 
income tax on that value. The annual fair rental value is not “deducted” 
from the clergy’s income as housing allowance, nor is it reported as 
additional taxable compensation on Form W-2. However, clergy do pay 
the Self-Employment Contributions Act (SECA) tax on the fair rental value 
of the housing provided</t>
  </si>
  <si>
    <t>Professional Development -    (If paid directly to Clergy (taxable and pensionable); Enter 0 if vendor paid by Parish or if it is reimbursing receipts submitted by clergy)</t>
  </si>
  <si>
    <t>Allowance for Telephone &amp; Internet   (If paid directly to Clergy (taxable and pensionable); enter 0 if vendor paid by Parish or if it is reimbursing receipts submitted by clergy)</t>
  </si>
  <si>
    <t>Allowance for Telephone &amp; Internet   (If paid directly to Clergy (taxable and pensionable); Enter 0 if vendor paid by Parish or if it is reimbursing receipts submitted by clergy)</t>
  </si>
  <si>
    <t>Telephone &amp; Internet -  (Enter only if vendors are paid directly by the Parish; enter 0 if paid directly to Clergy)</t>
  </si>
  <si>
    <t>Professional Development -  (Enter only if vendors are paid directly by the Parish; enter 0 if paid directly to Clergy)</t>
  </si>
  <si>
    <t>Other - Professional Expenses - (Enter only if vendors are paid directly by the Parish; enter 0 if paid directly to Clergy)</t>
  </si>
  <si>
    <t>Employee Assistance Program (EAP) - enter $48 ($4 x12) if your Clergy is not signing up for medical benefits but would like to enroll in the EAP program.  EAP is automatically provided to anyone enrolling in the CPG medical plan</t>
  </si>
  <si>
    <t>Professional Development -    (If paid directly to Clergy (taxable and pensionable); enter 0 if vendor paid by Parish or if it is reimbursing receipts submitted by clergy)</t>
  </si>
  <si>
    <t>Travel Allowance - (if paid directly to clergy (taxable and pensionable); enter 0 if paid by parish or if it is reimbursing receipts submitted by clergy).  Does not include commuting miles.</t>
  </si>
  <si>
    <t>NOTE: If the priest is covered under their spouses policy, the parish makes a contribution to a RSVP 403B plan in lieu of insurance or pays the spouse's premium + co-pays and medical expenses.   Enter that amount into cell B17.</t>
  </si>
  <si>
    <t>Travel Costs - (Enter only if vendors are paid directly by the Parish; enter 0 if paid directly to clergy).  Does not include commuting miles.</t>
  </si>
  <si>
    <t>Cash Housing Allowance - Housing amount for 2026 that is Clergy designated, Vestry approved annually before the start of the new year</t>
  </si>
  <si>
    <t>CPG Definition on Housing Allowance - refer to document linked below for questions on this topic along with SECA, and equity allowance calculations</t>
  </si>
  <si>
    <t>Utilities and Furnishings for use in rectory (if provided as cash and vendor paid by Clergy; enter agreed upon amount.  If paid directly to Vendor, input on row 38. Do not include here if amount is included in salary.)</t>
  </si>
  <si>
    <t>Utilities and furnishings for rectory- (Enter only if vendors are paid directly by the Parish; enter 0 if paid directly to clergy</t>
  </si>
  <si>
    <t>NOTE: If the priest is covered under their spouses policy, the parish makes a contribution to a RSVP 403b plan in lieu of insurance or pays the spouse's premium + co-pays and medical expenses.   Enter that amount into cell B18.</t>
  </si>
  <si>
    <t>30% of Clergy Compensation</t>
  </si>
  <si>
    <t>Pension Assessment - Paid to CPG (calculated below, starting on row 52)</t>
  </si>
  <si>
    <t>Stipend, including COLA &amp; Years of Experience</t>
  </si>
  <si>
    <t>Cash Compensation before SECA calculation</t>
  </si>
  <si>
    <t>Rectory Housing Calculation for SECA &amp;Pension</t>
  </si>
  <si>
    <t>Stipend, including COLA &amp; Years of Experience +SECA</t>
  </si>
  <si>
    <t>* OR * Fair Rental Value of Rectory (See compensation guide for how to determine value)</t>
  </si>
  <si>
    <t>Other - Payments to 403b for Equity Allowance in lieu of cash payment</t>
  </si>
  <si>
    <t>Other - (e.g,  tuition for children, bonus, other one-time payments)</t>
  </si>
  <si>
    <t>Lower of either 30% of Compensation or FRV of Rectory - input on rows 51 &amp; 62</t>
  </si>
  <si>
    <t>5% of Total Clergy Compensation - Input on row 50 if paid in cash, row 41 if paid into 403b</t>
  </si>
  <si>
    <t>Total Budget Impact of Clergy (will auto-calculate)</t>
  </si>
  <si>
    <t>SECA (automatically populated from calculations below, starting on row 47)</t>
  </si>
  <si>
    <t>Pension Assessment - Paid to CPG (calculated below, starting on row 58)</t>
  </si>
  <si>
    <t>Total Compensation - Value from row 23</t>
  </si>
  <si>
    <t>SECA - Value from row 11</t>
  </si>
  <si>
    <t>Employer Contributions to qualified or non-qualified plan - Value from row 41</t>
  </si>
  <si>
    <t>Pension Assessment = TAC x 18% ( Populates row above, row 25)</t>
  </si>
  <si>
    <t>Equity Allowance - Only if paid in cash, not deposited into a 403b, from row 68 if needed</t>
  </si>
  <si>
    <t xml:space="preserve">Other - Additional payments to 403b </t>
  </si>
  <si>
    <t>SECA (automatically populated from calculations below, starting on row 43)</t>
  </si>
  <si>
    <t>Total Compensation - Value from row 20</t>
  </si>
  <si>
    <t>Employer Contributions to qualified or non-qualified plan - Value from row 37</t>
  </si>
  <si>
    <t>Rectory Housing Calculation -  Enter value from row 73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</si>
</sst>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7" formatCode="&quot;$&quot;#,##0.00_);\(&quot;$&quot;#,##0.00\)"/>
    <numFmt numFmtId="44" formatCode="_(&quot;$&quot;* #,##0.00_);_(&quot;$&quot;* \(#,##0.00\);_(&quot;$&quot;* &quot;-&quot;??_);_(@_)"/>
    <numFmt numFmtId="43" formatCode="_(* #,##0.00_);_(* \(#,##0.00\);_(* &quot;-&quot;??_);_(@_)"/>
  </numFmts>
  <fonts count="13" x14ac:knownFonts="1">
    <font>
      <sz val="10"/>
      <name val="Arial"/>
      <family val="2"/>
    </font>
    <font>
      <sz val="10"/>
      <name val="Arial"/>
      <family val="2"/>
    </font>
    <font>
      <b/>
      <sz val="14"/>
      <name val="Arial"/>
      <family val="2"/>
    </font>
    <font>
      <b/>
      <sz val="11"/>
      <name val="Arial"/>
      <family val="2"/>
    </font>
    <font>
      <sz val="11"/>
      <name val="Arial"/>
      <family val="2"/>
    </font>
    <font>
      <b/>
      <sz val="12"/>
      <name val="Arial"/>
      <family val="2"/>
    </font>
    <font>
      <sz val="10"/>
      <color theme="1"/>
      <name val="Arial"/>
      <family val="2"/>
    </font>
    <font>
      <b/>
      <sz val="11"/>
      <color theme="1"/>
      <name val="Arial"/>
      <family val="2"/>
    </font>
    <font>
      <i/>
      <sz val="11"/>
      <name val="Arial"/>
      <family val="2"/>
    </font>
    <font>
      <b/>
      <sz val="11"/>
      <color rgb="FFC00000"/>
      <name val="Arial"/>
      <family val="2"/>
    </font>
    <font>
      <b/>
      <sz val="10"/>
      <name val="Arial"/>
      <family val="2"/>
    </font>
    <font>
      <b/>
      <sz val="10"/>
      <color rgb="FFFF0000"/>
      <name val="Arial"/>
      <family val="2"/>
    </font>
    <font>
      <u/>
      <sz val="10"/>
      <color theme="10"/>
      <name val="Arial"/>
      <family val="2"/>
    </font>
  </fonts>
  <fills count="13">
    <fill>
      <patternFill patternType="none"/>
    </fill>
    <fill>
      <patternFill patternType="gray125"/>
    </fill>
    <fill>
      <patternFill patternType="solid">
        <fgColor rgb="FFCC99FF"/>
        <bgColor indexed="64"/>
      </patternFill>
    </fill>
    <fill>
      <patternFill patternType="solid">
        <fgColor rgb="FFFFFF00"/>
        <bgColor indexed="64"/>
      </patternFill>
    </fill>
    <fill>
      <patternFill patternType="solid">
        <fgColor theme="2" tint="-9.9978637043366805E-2"/>
        <bgColor indexed="64"/>
      </patternFill>
    </fill>
    <fill>
      <patternFill patternType="solid">
        <fgColor rgb="FFFFC000"/>
        <bgColor indexed="64"/>
      </patternFill>
    </fill>
    <fill>
      <patternFill patternType="solid">
        <fgColor theme="5" tint="0.39997558519241921"/>
        <bgColor indexed="64"/>
      </patternFill>
    </fill>
    <fill>
      <patternFill patternType="solid">
        <fgColor theme="5" tint="0.79998168889431442"/>
        <bgColor indexed="64"/>
      </patternFill>
    </fill>
    <fill>
      <patternFill patternType="solid">
        <fgColor theme="6" tint="0.39997558519241921"/>
        <bgColor indexed="64"/>
      </patternFill>
    </fill>
    <fill>
      <patternFill patternType="solid">
        <fgColor theme="0" tint="-0.14999847407452621"/>
        <bgColor indexed="64"/>
      </patternFill>
    </fill>
    <fill>
      <patternFill patternType="solid">
        <fgColor rgb="FFE2CCFF"/>
        <bgColor indexed="64"/>
      </patternFill>
    </fill>
    <fill>
      <patternFill patternType="solid">
        <fgColor theme="8" tint="0.39997558519241921"/>
        <bgColor indexed="64"/>
      </patternFill>
    </fill>
    <fill>
      <patternFill patternType="solid">
        <fgColor theme="9" tint="0.59999389629810485"/>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s>
  <cellStyleXfs count="7">
    <xf numFmtId="0" fontId="0" fillId="0" borderId="0"/>
    <xf numFmtId="43" fontId="1" fillId="0" borderId="0" applyFont="0" applyFill="0" applyBorder="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xf numFmtId="0" fontId="12" fillId="0" borderId="0" applyNumberFormat="0" applyFill="0" applyBorder="0" applyAlignment="0" applyProtection="0"/>
  </cellStyleXfs>
  <cellXfs count="107">
    <xf numFmtId="0" fontId="0" fillId="0" borderId="0" xfId="0"/>
    <xf numFmtId="0" fontId="3" fillId="0" borderId="1" xfId="0" applyFont="1" applyBorder="1" applyAlignment="1">
      <alignment horizontal="left"/>
    </xf>
    <xf numFmtId="44" fontId="3" fillId="2" borderId="1" xfId="0" applyNumberFormat="1" applyFont="1" applyFill="1" applyBorder="1" applyAlignment="1">
      <alignment horizontal="center" vertical="center" wrapText="1"/>
    </xf>
    <xf numFmtId="49" fontId="4" fillId="0" borderId="1" xfId="0" applyNumberFormat="1" applyFont="1" applyBorder="1" applyAlignment="1">
      <alignment horizontal="left" wrapText="1"/>
    </xf>
    <xf numFmtId="44" fontId="4" fillId="0" borderId="1" xfId="0" applyNumberFormat="1" applyFont="1" applyBorder="1" applyAlignment="1">
      <alignment horizontal="left"/>
    </xf>
    <xf numFmtId="44" fontId="3" fillId="0" borderId="1" xfId="0" applyNumberFormat="1" applyFont="1" applyBorder="1" applyAlignment="1">
      <alignment horizontal="left"/>
    </xf>
    <xf numFmtId="0" fontId="4" fillId="0" borderId="1" xfId="0" applyFont="1" applyBorder="1"/>
    <xf numFmtId="44" fontId="4" fillId="0" borderId="1" xfId="0" applyNumberFormat="1" applyFont="1" applyBorder="1"/>
    <xf numFmtId="0" fontId="3" fillId="0" borderId="1" xfId="0" applyFont="1" applyBorder="1" applyAlignment="1">
      <alignment horizontal="left" wrapText="1"/>
    </xf>
    <xf numFmtId="0" fontId="4" fillId="0" borderId="0" xfId="0" applyFont="1"/>
    <xf numFmtId="0" fontId="4" fillId="0" borderId="1" xfId="0" applyFont="1" applyBorder="1" applyAlignment="1">
      <alignment horizontal="left" wrapText="1"/>
    </xf>
    <xf numFmtId="0" fontId="3" fillId="0" borderId="1" xfId="0" applyFont="1" applyBorder="1"/>
    <xf numFmtId="0" fontId="3" fillId="0" borderId="0" xfId="0" applyFont="1"/>
    <xf numFmtId="0" fontId="4" fillId="0" borderId="1" xfId="0" applyFont="1" applyBorder="1" applyAlignment="1">
      <alignment horizontal="left"/>
    </xf>
    <xf numFmtId="44" fontId="4" fillId="0" borderId="1" xfId="0" applyNumberFormat="1" applyFont="1" applyBorder="1" applyAlignment="1">
      <alignment horizontal="right"/>
    </xf>
    <xf numFmtId="0" fontId="4" fillId="0" borderId="0" xfId="0" applyFont="1" applyAlignment="1">
      <alignment horizontal="left"/>
    </xf>
    <xf numFmtId="4" fontId="4" fillId="0" borderId="1" xfId="0" applyNumberFormat="1" applyFont="1" applyBorder="1" applyAlignment="1">
      <alignment horizontal="left"/>
    </xf>
    <xf numFmtId="0" fontId="0" fillId="0" borderId="0" xfId="0" applyAlignment="1">
      <alignment wrapText="1"/>
    </xf>
    <xf numFmtId="0" fontId="6" fillId="0" borderId="0" xfId="0" applyFont="1"/>
    <xf numFmtId="0" fontId="4" fillId="0" borderId="1" xfId="0" applyFont="1" applyBorder="1" applyAlignment="1" applyProtection="1">
      <alignment wrapText="1"/>
      <protection hidden="1"/>
    </xf>
    <xf numFmtId="0" fontId="4" fillId="0" borderId="1" xfId="0" applyFont="1" applyBorder="1" applyAlignment="1">
      <alignment wrapText="1"/>
    </xf>
    <xf numFmtId="7" fontId="4" fillId="0" borderId="1" xfId="1" applyNumberFormat="1" applyFont="1" applyBorder="1" applyAlignment="1" applyProtection="1">
      <alignment horizontal="center" vertical="center" wrapText="1"/>
    </xf>
    <xf numFmtId="0" fontId="10" fillId="3" borderId="0" xfId="0" applyFont="1" applyFill="1" applyAlignment="1">
      <alignment wrapText="1"/>
    </xf>
    <xf numFmtId="49" fontId="4" fillId="0" borderId="1" xfId="0" applyNumberFormat="1" applyFont="1" applyBorder="1" applyAlignment="1" applyProtection="1">
      <alignment horizontal="left" wrapText="1"/>
      <protection locked="0"/>
    </xf>
    <xf numFmtId="44" fontId="4" fillId="0" borderId="2" xfId="0" applyNumberFormat="1" applyFont="1" applyBorder="1"/>
    <xf numFmtId="0" fontId="1" fillId="0" borderId="0" xfId="0" applyFont="1"/>
    <xf numFmtId="0" fontId="2" fillId="2" borderId="1" xfId="0" applyFont="1" applyFill="1" applyBorder="1" applyAlignment="1">
      <alignment horizontal="left"/>
    </xf>
    <xf numFmtId="7" fontId="4" fillId="0" borderId="0" xfId="1" applyNumberFormat="1" applyFont="1" applyFill="1" applyBorder="1" applyAlignment="1" applyProtection="1">
      <alignment vertical="center" wrapText="1"/>
    </xf>
    <xf numFmtId="0" fontId="10" fillId="0" borderId="0" xfId="0" applyFont="1" applyAlignment="1">
      <alignment wrapText="1"/>
    </xf>
    <xf numFmtId="0" fontId="4" fillId="0" borderId="0" xfId="0" applyFont="1" applyAlignment="1">
      <alignment horizontal="right" vertical="center" wrapText="1"/>
    </xf>
    <xf numFmtId="7" fontId="4" fillId="0" borderId="0" xfId="1" applyNumberFormat="1" applyFont="1" applyFill="1" applyBorder="1" applyAlignment="1" applyProtection="1">
      <alignment horizontal="center" vertical="center" wrapText="1"/>
    </xf>
    <xf numFmtId="7" fontId="4" fillId="0" borderId="9" xfId="1" applyNumberFormat="1" applyFont="1" applyBorder="1" applyAlignment="1" applyProtection="1">
      <alignment horizontal="center" vertical="center" wrapText="1"/>
    </xf>
    <xf numFmtId="7" fontId="4" fillId="0" borderId="11" xfId="1" applyNumberFormat="1" applyFont="1" applyBorder="1" applyAlignment="1" applyProtection="1">
      <alignment horizontal="center" vertical="center" wrapText="1"/>
    </xf>
    <xf numFmtId="7" fontId="4" fillId="0" borderId="12" xfId="1" applyNumberFormat="1" applyFont="1" applyBorder="1" applyAlignment="1" applyProtection="1">
      <alignment horizontal="center" vertical="center" wrapText="1"/>
    </xf>
    <xf numFmtId="0" fontId="3" fillId="0" borderId="5" xfId="2" applyFont="1" applyBorder="1" applyAlignment="1">
      <alignment horizontal="center" wrapText="1"/>
    </xf>
    <xf numFmtId="0" fontId="3" fillId="4" borderId="9" xfId="2" applyFont="1" applyFill="1" applyBorder="1" applyAlignment="1">
      <alignment horizontal="center" wrapText="1"/>
    </xf>
    <xf numFmtId="7" fontId="4" fillId="0" borderId="5" xfId="1" applyNumberFormat="1" applyFont="1" applyFill="1" applyBorder="1" applyAlignment="1" applyProtection="1">
      <alignment vertical="center" wrapText="1"/>
    </xf>
    <xf numFmtId="7" fontId="4" fillId="4" borderId="9" xfId="1" applyNumberFormat="1" applyFont="1" applyFill="1" applyBorder="1" applyAlignment="1" applyProtection="1">
      <alignment vertical="center" wrapText="1"/>
    </xf>
    <xf numFmtId="7" fontId="4" fillId="0" borderId="10" xfId="1" applyNumberFormat="1" applyFont="1" applyFill="1" applyBorder="1" applyAlignment="1" applyProtection="1">
      <alignment vertical="center" wrapText="1"/>
    </xf>
    <xf numFmtId="7" fontId="4" fillId="4" borderId="12" xfId="1" applyNumberFormat="1" applyFont="1" applyFill="1" applyBorder="1" applyAlignment="1" applyProtection="1">
      <alignment vertical="center" wrapText="1"/>
    </xf>
    <xf numFmtId="0" fontId="6" fillId="0" borderId="14" xfId="0" applyFont="1" applyBorder="1" applyAlignment="1">
      <alignment horizontal="center" wrapText="1"/>
    </xf>
    <xf numFmtId="0" fontId="3" fillId="0" borderId="15" xfId="2" applyFont="1" applyBorder="1" applyAlignment="1">
      <alignment horizontal="center" wrapText="1"/>
    </xf>
    <xf numFmtId="0" fontId="4" fillId="0" borderId="15" xfId="0" applyFont="1" applyBorder="1" applyAlignment="1">
      <alignment horizontal="right" vertical="center" wrapText="1"/>
    </xf>
    <xf numFmtId="0" fontId="4" fillId="0" borderId="16" xfId="0" applyFont="1" applyBorder="1" applyAlignment="1">
      <alignment horizontal="right" vertical="center" wrapText="1"/>
    </xf>
    <xf numFmtId="0" fontId="2" fillId="6" borderId="1" xfId="0" applyFont="1" applyFill="1" applyBorder="1"/>
    <xf numFmtId="0" fontId="6" fillId="6" borderId="6" xfId="0" applyFont="1" applyFill="1" applyBorder="1" applyAlignment="1">
      <alignment horizontal="center" wrapText="1"/>
    </xf>
    <xf numFmtId="0" fontId="3" fillId="7" borderId="5" xfId="2" applyFont="1" applyFill="1" applyBorder="1" applyAlignment="1">
      <alignment horizontal="center" wrapText="1"/>
    </xf>
    <xf numFmtId="0" fontId="3" fillId="7" borderId="9" xfId="2" applyFont="1" applyFill="1" applyBorder="1" applyAlignment="1">
      <alignment horizontal="center" wrapText="1"/>
    </xf>
    <xf numFmtId="7" fontId="4" fillId="7" borderId="5" xfId="1" applyNumberFormat="1" applyFont="1" applyFill="1" applyBorder="1" applyAlignment="1" applyProtection="1">
      <alignment horizontal="center" vertical="center" wrapText="1"/>
    </xf>
    <xf numFmtId="7" fontId="4" fillId="7" borderId="9" xfId="1" applyNumberFormat="1" applyFont="1" applyFill="1" applyBorder="1" applyAlignment="1" applyProtection="1">
      <alignment vertical="center" wrapText="1"/>
    </xf>
    <xf numFmtId="7" fontId="4" fillId="7" borderId="10" xfId="1" applyNumberFormat="1" applyFont="1" applyFill="1" applyBorder="1" applyAlignment="1" applyProtection="1">
      <alignment horizontal="center" vertical="center" wrapText="1"/>
    </xf>
    <xf numFmtId="7" fontId="4" fillId="7" borderId="12" xfId="1" applyNumberFormat="1" applyFont="1" applyFill="1" applyBorder="1" applyAlignment="1" applyProtection="1">
      <alignment vertical="center" wrapText="1"/>
    </xf>
    <xf numFmtId="0" fontId="3" fillId="7" borderId="1" xfId="2" applyFont="1" applyFill="1" applyBorder="1" applyAlignment="1">
      <alignment horizontal="center"/>
    </xf>
    <xf numFmtId="0" fontId="3" fillId="7" borderId="9" xfId="2" applyFont="1" applyFill="1" applyBorder="1" applyAlignment="1">
      <alignment horizontal="center"/>
    </xf>
    <xf numFmtId="0" fontId="3" fillId="7" borderId="1" xfId="2" applyFont="1" applyFill="1" applyBorder="1" applyAlignment="1">
      <alignment horizontal="center" wrapText="1"/>
    </xf>
    <xf numFmtId="0" fontId="11" fillId="6" borderId="4" xfId="0" applyFont="1" applyFill="1" applyBorder="1" applyAlignment="1">
      <alignment horizontal="center" wrapText="1"/>
    </xf>
    <xf numFmtId="0" fontId="11" fillId="6" borderId="6" xfId="0" applyFont="1" applyFill="1" applyBorder="1" applyAlignment="1">
      <alignment horizontal="center" wrapText="1"/>
    </xf>
    <xf numFmtId="0" fontId="3" fillId="8" borderId="1" xfId="0" applyFont="1" applyFill="1" applyBorder="1" applyAlignment="1">
      <alignment horizontal="left" wrapText="1"/>
    </xf>
    <xf numFmtId="44" fontId="3" fillId="0" borderId="0" xfId="0" applyNumberFormat="1" applyFont="1"/>
    <xf numFmtId="44" fontId="4" fillId="8" borderId="17" xfId="0" applyNumberFormat="1" applyFont="1" applyFill="1" applyBorder="1" applyAlignment="1">
      <alignment horizontal="center"/>
    </xf>
    <xf numFmtId="44" fontId="4" fillId="0" borderId="1" xfId="4" applyFont="1" applyBorder="1" applyAlignment="1">
      <alignment horizontal="left" wrapText="1"/>
    </xf>
    <xf numFmtId="0" fontId="5" fillId="5" borderId="18" xfId="0" applyFont="1" applyFill="1" applyBorder="1" applyAlignment="1">
      <alignment horizontal="left"/>
    </xf>
    <xf numFmtId="0" fontId="0" fillId="5" borderId="19" xfId="0" applyFill="1" applyBorder="1"/>
    <xf numFmtId="0" fontId="10" fillId="0" borderId="3" xfId="0" applyFont="1" applyBorder="1"/>
    <xf numFmtId="0" fontId="0" fillId="0" borderId="20" xfId="0" applyBorder="1"/>
    <xf numFmtId="0" fontId="0" fillId="0" borderId="3" xfId="0" applyBorder="1"/>
    <xf numFmtId="44" fontId="4" fillId="0" borderId="1" xfId="4" applyFont="1" applyFill="1" applyBorder="1" applyAlignment="1">
      <alignment horizontal="left" wrapText="1"/>
    </xf>
    <xf numFmtId="44" fontId="7" fillId="9" borderId="1" xfId="0" applyNumberFormat="1" applyFont="1" applyFill="1" applyBorder="1" applyAlignment="1">
      <alignment horizontal="left" vertical="center"/>
    </xf>
    <xf numFmtId="0" fontId="3" fillId="2" borderId="1" xfId="0" applyFont="1" applyFill="1" applyBorder="1" applyAlignment="1">
      <alignment horizontal="left"/>
    </xf>
    <xf numFmtId="44" fontId="3" fillId="2" borderId="1" xfId="0" applyNumberFormat="1" applyFont="1" applyFill="1" applyBorder="1" applyAlignment="1">
      <alignment horizontal="left"/>
    </xf>
    <xf numFmtId="0" fontId="3" fillId="10" borderId="1" xfId="0" applyFont="1" applyFill="1" applyBorder="1"/>
    <xf numFmtId="44" fontId="3" fillId="10" borderId="1" xfId="0" applyNumberFormat="1" applyFont="1" applyFill="1" applyBorder="1"/>
    <xf numFmtId="0" fontId="5" fillId="10" borderId="1" xfId="0" applyFont="1" applyFill="1" applyBorder="1" applyAlignment="1">
      <alignment horizontal="center"/>
    </xf>
    <xf numFmtId="49" fontId="3" fillId="10" borderId="1" xfId="0" applyNumberFormat="1" applyFont="1" applyFill="1" applyBorder="1"/>
    <xf numFmtId="49" fontId="4" fillId="10" borderId="1" xfId="0" applyNumberFormat="1" applyFont="1" applyFill="1" applyBorder="1" applyAlignment="1">
      <alignment horizontal="left" wrapText="1"/>
    </xf>
    <xf numFmtId="44" fontId="4" fillId="10" borderId="1" xfId="0" applyNumberFormat="1" applyFont="1" applyFill="1" applyBorder="1" applyAlignment="1">
      <alignment horizontal="left"/>
    </xf>
    <xf numFmtId="9" fontId="3" fillId="11" borderId="1" xfId="5" applyFont="1" applyFill="1" applyBorder="1" applyAlignment="1">
      <alignment horizontal="center" vertical="center" wrapText="1"/>
    </xf>
    <xf numFmtId="44" fontId="4" fillId="11" borderId="1" xfId="0" applyNumberFormat="1" applyFont="1" applyFill="1" applyBorder="1" applyAlignment="1">
      <alignment horizontal="left"/>
    </xf>
    <xf numFmtId="44" fontId="4" fillId="11" borderId="1" xfId="0" applyNumberFormat="1" applyFont="1" applyFill="1" applyBorder="1"/>
    <xf numFmtId="44" fontId="4" fillId="11" borderId="1" xfId="4" applyFont="1" applyFill="1" applyBorder="1" applyAlignment="1">
      <alignment horizontal="left" wrapText="1"/>
    </xf>
    <xf numFmtId="43" fontId="4" fillId="11" borderId="1" xfId="1" applyFont="1" applyFill="1" applyBorder="1" applyAlignment="1" applyProtection="1">
      <alignment horizontal="center" vertical="center" wrapText="1"/>
    </xf>
    <xf numFmtId="44" fontId="4" fillId="11" borderId="0" xfId="0" applyNumberFormat="1" applyFont="1" applyFill="1"/>
    <xf numFmtId="9" fontId="3" fillId="11" borderId="1" xfId="5" applyFont="1" applyFill="1" applyBorder="1" applyAlignment="1">
      <alignment horizontal="center"/>
    </xf>
    <xf numFmtId="44" fontId="3" fillId="6" borderId="1" xfId="0" applyNumberFormat="1" applyFont="1" applyFill="1" applyBorder="1" applyAlignment="1">
      <alignment horizontal="center" wrapText="1"/>
    </xf>
    <xf numFmtId="44" fontId="0" fillId="0" borderId="0" xfId="0" applyNumberFormat="1"/>
    <xf numFmtId="0" fontId="12" fillId="0" borderId="0" xfId="6"/>
    <xf numFmtId="0" fontId="0" fillId="0" borderId="3" xfId="0" applyBorder="1" applyAlignment="1">
      <alignment wrapText="1"/>
    </xf>
    <xf numFmtId="44" fontId="4" fillId="10" borderId="1" xfId="0" applyNumberFormat="1" applyFont="1" applyFill="1" applyBorder="1"/>
    <xf numFmtId="44" fontId="4" fillId="10" borderId="1" xfId="0" applyNumberFormat="1" applyFont="1" applyFill="1" applyBorder="1" applyAlignment="1">
      <alignment horizontal="right"/>
    </xf>
    <xf numFmtId="49" fontId="3" fillId="5" borderId="0" xfId="0" applyNumberFormat="1" applyFont="1" applyFill="1" applyAlignment="1">
      <alignment horizontal="left"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2" fillId="12" borderId="0" xfId="0" applyFont="1" applyFill="1" applyAlignment="1">
      <alignment horizontal="center"/>
    </xf>
    <xf numFmtId="0" fontId="2" fillId="11" borderId="0" xfId="0" applyFont="1" applyFill="1" applyAlignment="1">
      <alignment horizontal="center" vertical="center" wrapText="1"/>
    </xf>
    <xf numFmtId="0" fontId="2" fillId="0" borderId="0" xfId="0" applyFont="1" applyAlignment="1">
      <alignment horizontal="center"/>
    </xf>
    <xf numFmtId="0" fontId="0" fillId="0" borderId="13" xfId="0" applyBorder="1" applyAlignment="1">
      <alignment horizontal="center" wrapText="1"/>
    </xf>
    <xf numFmtId="0" fontId="0" fillId="0" borderId="8" xfId="0" applyBorder="1" applyAlignment="1">
      <alignment horizontal="center" wrapText="1"/>
    </xf>
    <xf numFmtId="44" fontId="4" fillId="0" borderId="1" xfId="0" applyNumberFormat="1" applyFont="1" applyFill="1" applyBorder="1" applyAlignment="1">
      <alignment horizontal="right"/>
    </xf>
    <xf numFmtId="49" fontId="4" fillId="0" borderId="1" xfId="0" applyNumberFormat="1" applyFont="1" applyFill="1" applyBorder="1" applyAlignment="1">
      <alignment horizontal="left" wrapText="1"/>
    </xf>
    <xf numFmtId="49" fontId="4" fillId="0" borderId="1" xfId="0" applyNumberFormat="1" applyFont="1" applyBorder="1" applyAlignment="1">
      <alignment horizontal="right" wrapText="1"/>
    </xf>
    <xf numFmtId="0" fontId="4" fillId="0" borderId="1" xfId="0" applyFont="1" applyFill="1" applyBorder="1" applyAlignment="1">
      <alignment horizontal="left"/>
    </xf>
    <xf numFmtId="0" fontId="4" fillId="0" borderId="0" xfId="0" applyFont="1" applyBorder="1" applyAlignment="1">
      <alignment horizontal="left"/>
    </xf>
    <xf numFmtId="44" fontId="4" fillId="0" borderId="0" xfId="0" applyNumberFormat="1" applyFont="1" applyFill="1" applyBorder="1" applyAlignment="1">
      <alignment horizontal="right"/>
    </xf>
    <xf numFmtId="0" fontId="2" fillId="9" borderId="1" xfId="0" applyFont="1" applyFill="1" applyBorder="1" applyAlignment="1">
      <alignment horizontal="left" vertical="center" wrapText="1"/>
    </xf>
    <xf numFmtId="0" fontId="0" fillId="0" borderId="0" xfId="0" applyBorder="1" applyAlignment="1">
      <alignment wrapText="1"/>
    </xf>
    <xf numFmtId="49" fontId="4" fillId="0" borderId="1" xfId="0" applyNumberFormat="1" applyFont="1" applyBorder="1" applyAlignment="1">
      <alignment wrapText="1"/>
    </xf>
    <xf numFmtId="44" fontId="4" fillId="0" borderId="0" xfId="0" applyNumberFormat="1" applyFont="1" applyBorder="1" applyAlignment="1">
      <alignment horizontal="right"/>
    </xf>
  </cellXfs>
  <cellStyles count="7">
    <cellStyle name="Comma" xfId="1" builtinId="3"/>
    <cellStyle name="Comma 3" xfId="3" xr:uid="{F8603839-A84A-4150-9787-3F251757092E}"/>
    <cellStyle name="Currency" xfId="4" builtinId="4"/>
    <cellStyle name="Hyperlink" xfId="6" builtinId="8"/>
    <cellStyle name="Normal" xfId="0" builtinId="0"/>
    <cellStyle name="Normal 2" xfId="2" xr:uid="{0BF6C453-CFB8-4AB6-9E2D-82D6614BFBD1}"/>
    <cellStyle name="Percent" xfId="5" builtinId="5"/>
  </cellStyles>
  <dxfs count="0"/>
  <tableStyles count="0" defaultTableStyle="TableStyleMedium2" defaultPivotStyle="PivotStyleLight16"/>
  <colors>
    <mruColors>
      <color rgb="FFE2CCFF"/>
      <color rgb="FFCC99FF"/>
      <color rgb="FFFFFF99"/>
      <color rgb="FFAF4A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hyperlink" Target="https://www.cpg.org/globalassets/documents/publications/tax-2025-clergy-tax-return-preparation-guide-for-2024-tax-return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C23019-C9EC-48B0-96C6-229E76AF78C3}">
  <sheetPr>
    <pageSetUpPr fitToPage="1"/>
  </sheetPr>
  <dimension ref="A1:Q67"/>
  <sheetViews>
    <sheetView showGridLines="0" tabSelected="1" workbookViewId="0">
      <pane xSplit="1" ySplit="5" topLeftCell="B6" activePane="bottomRight" state="frozen"/>
      <selection pane="topRight" activeCell="B1" sqref="B1"/>
      <selection pane="bottomLeft" activeCell="A6" sqref="A6"/>
      <selection pane="bottomRight" activeCell="B8" sqref="B8"/>
    </sheetView>
  </sheetViews>
  <sheetFormatPr defaultColWidth="10.7109375" defaultRowHeight="12.75" x14ac:dyDescent="0.2"/>
  <cols>
    <col min="1" max="1" width="80.85546875" customWidth="1"/>
    <col min="2" max="2" width="26" customWidth="1"/>
    <col min="3" max="3" width="17.7109375" customWidth="1"/>
    <col min="4" max="4" width="3.42578125" customWidth="1"/>
    <col min="5" max="5" width="17.140625" customWidth="1"/>
    <col min="6" max="6" width="12.85546875" customWidth="1"/>
    <col min="7" max="7" width="13.5703125" customWidth="1"/>
    <col min="8" max="8" width="20.42578125" customWidth="1"/>
    <col min="10" max="11" width="11.5703125" bestFit="1" customWidth="1"/>
    <col min="12" max="12" width="11.85546875" bestFit="1" customWidth="1"/>
    <col min="13" max="13" width="11.5703125" bestFit="1" customWidth="1"/>
    <col min="14" max="17" width="11.85546875" bestFit="1" customWidth="1"/>
  </cols>
  <sheetData>
    <row r="1" spans="1:7" ht="18" x14ac:dyDescent="0.25">
      <c r="A1" s="94" t="s">
        <v>16</v>
      </c>
      <c r="B1" s="94"/>
    </row>
    <row r="2" spans="1:7" ht="18" x14ac:dyDescent="0.25">
      <c r="A2" s="92" t="s">
        <v>45</v>
      </c>
      <c r="B2" s="92"/>
    </row>
    <row r="3" spans="1:7" ht="18" x14ac:dyDescent="0.2">
      <c r="A3" s="93" t="s">
        <v>48</v>
      </c>
      <c r="B3" s="93"/>
    </row>
    <row r="5" spans="1:7" ht="18" x14ac:dyDescent="0.25">
      <c r="A5" s="26" t="s">
        <v>49</v>
      </c>
      <c r="B5" s="2"/>
      <c r="G5" s="17"/>
    </row>
    <row r="6" spans="1:7" ht="15" x14ac:dyDescent="0.25">
      <c r="A6" s="1" t="s">
        <v>50</v>
      </c>
      <c r="B6" s="76">
        <v>0</v>
      </c>
      <c r="G6" s="17"/>
    </row>
    <row r="7" spans="1:7" ht="14.25" x14ac:dyDescent="0.2">
      <c r="A7" s="13" t="s">
        <v>62</v>
      </c>
      <c r="B7" s="77">
        <v>0</v>
      </c>
      <c r="G7" s="17"/>
    </row>
    <row r="8" spans="1:7" ht="14.25" x14ac:dyDescent="0.2">
      <c r="A8" s="3" t="s">
        <v>25</v>
      </c>
      <c r="B8" s="4">
        <f>+(B7)*0.027</f>
        <v>0</v>
      </c>
      <c r="G8" s="17"/>
    </row>
    <row r="9" spans="1:7" ht="14.25" x14ac:dyDescent="0.2">
      <c r="A9" s="3" t="s">
        <v>15</v>
      </c>
      <c r="B9" s="4">
        <f>500*B6</f>
        <v>0</v>
      </c>
      <c r="G9" s="17"/>
    </row>
    <row r="10" spans="1:7" ht="14.25" x14ac:dyDescent="0.2">
      <c r="A10" s="99" t="s">
        <v>85</v>
      </c>
      <c r="B10" s="4">
        <f>SUM(B7:B9)</f>
        <v>0</v>
      </c>
      <c r="G10" s="17"/>
    </row>
    <row r="11" spans="1:7" ht="14.25" x14ac:dyDescent="0.2">
      <c r="A11" s="74" t="s">
        <v>102</v>
      </c>
      <c r="B11" s="75">
        <f>B49</f>
        <v>0</v>
      </c>
    </row>
    <row r="12" spans="1:7" ht="15" x14ac:dyDescent="0.25">
      <c r="A12" s="1" t="s">
        <v>41</v>
      </c>
      <c r="B12" s="5">
        <f>+B10+B11</f>
        <v>0</v>
      </c>
    </row>
    <row r="13" spans="1:7" ht="14.25" x14ac:dyDescent="0.2">
      <c r="A13" s="6"/>
      <c r="B13" s="7"/>
    </row>
    <row r="14" spans="1:7" ht="15" x14ac:dyDescent="0.25">
      <c r="A14" s="8" t="s">
        <v>51</v>
      </c>
      <c r="B14" s="7"/>
    </row>
    <row r="15" spans="1:7" ht="42.75" customHeight="1" x14ac:dyDescent="0.2">
      <c r="A15" s="105" t="s">
        <v>67</v>
      </c>
      <c r="B15" s="78">
        <v>0</v>
      </c>
    </row>
    <row r="16" spans="1:7" ht="28.5" x14ac:dyDescent="0.2">
      <c r="A16" s="10" t="s">
        <v>73</v>
      </c>
      <c r="B16" s="78">
        <v>0</v>
      </c>
    </row>
    <row r="17" spans="1:17" ht="42.75" x14ac:dyDescent="0.2">
      <c r="A17" s="10" t="s">
        <v>74</v>
      </c>
      <c r="B17" s="78">
        <v>0</v>
      </c>
    </row>
    <row r="18" spans="1:17" ht="14.25" x14ac:dyDescent="0.2">
      <c r="A18" s="23" t="s">
        <v>90</v>
      </c>
      <c r="B18" s="78">
        <v>0</v>
      </c>
    </row>
    <row r="19" spans="1:17" ht="15" x14ac:dyDescent="0.25">
      <c r="A19" s="8" t="s">
        <v>52</v>
      </c>
      <c r="B19" s="5">
        <f>SUM(B15:B18)</f>
        <v>0</v>
      </c>
    </row>
    <row r="20" spans="1:17" ht="15" x14ac:dyDescent="0.25">
      <c r="A20" s="68" t="s">
        <v>53</v>
      </c>
      <c r="B20" s="69">
        <f>B12+B19</f>
        <v>0</v>
      </c>
    </row>
    <row r="21" spans="1:17" ht="15" x14ac:dyDescent="0.25">
      <c r="A21" s="8"/>
      <c r="B21" s="5"/>
    </row>
    <row r="22" spans="1:17" ht="15" x14ac:dyDescent="0.25">
      <c r="A22" s="70" t="s">
        <v>83</v>
      </c>
      <c r="B22" s="71">
        <f>B56</f>
        <v>0</v>
      </c>
    </row>
    <row r="23" spans="1:17" ht="15" thickBot="1" x14ac:dyDescent="0.25">
      <c r="A23" s="6"/>
      <c r="B23" s="7"/>
    </row>
    <row r="24" spans="1:17" ht="64.5" x14ac:dyDescent="0.25">
      <c r="A24" s="44" t="s">
        <v>0</v>
      </c>
      <c r="B24" s="83" t="s">
        <v>35</v>
      </c>
      <c r="C24" s="83" t="s">
        <v>36</v>
      </c>
      <c r="E24" s="40"/>
      <c r="F24" s="45" t="s">
        <v>22</v>
      </c>
      <c r="G24" s="55" t="s">
        <v>14</v>
      </c>
      <c r="H24" s="95" t="s">
        <v>42</v>
      </c>
      <c r="I24" s="96"/>
      <c r="J24" s="56" t="s">
        <v>14</v>
      </c>
      <c r="K24" s="90" t="s">
        <v>43</v>
      </c>
      <c r="L24" s="90"/>
      <c r="M24" s="91"/>
      <c r="N24" s="56" t="s">
        <v>39</v>
      </c>
      <c r="O24" s="90" t="s">
        <v>44</v>
      </c>
      <c r="P24" s="90"/>
      <c r="Q24" s="91"/>
    </row>
    <row r="25" spans="1:17" ht="60" x14ac:dyDescent="0.25">
      <c r="A25" s="11" t="s">
        <v>54</v>
      </c>
      <c r="B25" s="82">
        <v>0</v>
      </c>
      <c r="E25" s="41" t="s">
        <v>26</v>
      </c>
      <c r="F25" s="46" t="s">
        <v>20</v>
      </c>
      <c r="G25" s="47" t="s">
        <v>19</v>
      </c>
      <c r="H25" s="34" t="s">
        <v>18</v>
      </c>
      <c r="I25" s="35"/>
      <c r="J25" s="46" t="s">
        <v>21</v>
      </c>
      <c r="K25" s="52" t="s">
        <v>12</v>
      </c>
      <c r="L25" s="52" t="s">
        <v>13</v>
      </c>
      <c r="M25" s="53" t="s">
        <v>11</v>
      </c>
      <c r="N25" s="46" t="s">
        <v>27</v>
      </c>
      <c r="O25" s="54" t="s">
        <v>28</v>
      </c>
      <c r="P25" s="54" t="s">
        <v>29</v>
      </c>
      <c r="Q25" s="47" t="s">
        <v>30</v>
      </c>
    </row>
    <row r="26" spans="1:17" ht="28.5" x14ac:dyDescent="0.2">
      <c r="A26" s="19" t="s">
        <v>37</v>
      </c>
      <c r="B26" s="7">
        <f>+C26*B25</f>
        <v>0</v>
      </c>
      <c r="C26" s="80">
        <v>0</v>
      </c>
      <c r="E26" s="42" t="s">
        <v>1</v>
      </c>
      <c r="F26" s="48">
        <v>1500</v>
      </c>
      <c r="G26" s="49">
        <f>62*12</f>
        <v>744</v>
      </c>
      <c r="H26" s="36">
        <f>82*12</f>
        <v>984</v>
      </c>
      <c r="I26" s="37"/>
      <c r="J26" s="48">
        <f>1008*12</f>
        <v>12096</v>
      </c>
      <c r="K26" s="21">
        <f>1189*12</f>
        <v>14268</v>
      </c>
      <c r="L26" s="21">
        <f>1342*12</f>
        <v>16104</v>
      </c>
      <c r="M26" s="31">
        <f>908*12</f>
        <v>10896</v>
      </c>
      <c r="N26" s="48">
        <f>808*12</f>
        <v>9696</v>
      </c>
      <c r="O26" s="21">
        <f>952*12</f>
        <v>11424</v>
      </c>
      <c r="P26" s="21">
        <f>1074*12</f>
        <v>12888</v>
      </c>
      <c r="Q26" s="31">
        <f>729*12</f>
        <v>8748</v>
      </c>
    </row>
    <row r="27" spans="1:17" ht="28.5" x14ac:dyDescent="0.2">
      <c r="A27" s="19" t="s">
        <v>38</v>
      </c>
      <c r="B27" s="7">
        <f>+C27*B25</f>
        <v>0</v>
      </c>
      <c r="C27" s="78">
        <v>0</v>
      </c>
      <c r="E27" s="42" t="s">
        <v>2</v>
      </c>
      <c r="F27" s="48">
        <v>2000</v>
      </c>
      <c r="G27" s="49">
        <f>124*12</f>
        <v>1488</v>
      </c>
      <c r="H27" s="36">
        <f>164*12</f>
        <v>1968</v>
      </c>
      <c r="I27" s="37"/>
      <c r="J27" s="48">
        <f>2016*12</f>
        <v>24192</v>
      </c>
      <c r="K27" s="21">
        <f>2378*12</f>
        <v>28536</v>
      </c>
      <c r="L27" s="21">
        <f>2684*12</f>
        <v>32208</v>
      </c>
      <c r="M27" s="31">
        <f>1816*12</f>
        <v>21792</v>
      </c>
      <c r="N27" s="48">
        <f>1616*12</f>
        <v>19392</v>
      </c>
      <c r="O27" s="21">
        <f>1904*12</f>
        <v>22848</v>
      </c>
      <c r="P27" s="21">
        <f>2148*12</f>
        <v>25776</v>
      </c>
      <c r="Q27" s="31">
        <f>1458*12</f>
        <v>17496</v>
      </c>
    </row>
    <row r="28" spans="1:17" ht="57" x14ac:dyDescent="0.2">
      <c r="A28" s="20" t="s">
        <v>55</v>
      </c>
      <c r="B28" s="7"/>
      <c r="C28" s="81">
        <v>0</v>
      </c>
      <c r="E28" s="42" t="s">
        <v>3</v>
      </c>
      <c r="F28" s="48">
        <v>2000</v>
      </c>
      <c r="G28" s="49">
        <f>112*12</f>
        <v>1344</v>
      </c>
      <c r="H28" s="36">
        <f>148*12</f>
        <v>1776</v>
      </c>
      <c r="I28" s="37"/>
      <c r="J28" s="48">
        <f>1814*12</f>
        <v>21768</v>
      </c>
      <c r="K28" s="21">
        <f>2140*12</f>
        <v>25680</v>
      </c>
      <c r="L28" s="21">
        <f>2416*12</f>
        <v>28992</v>
      </c>
      <c r="M28" s="31">
        <f>1634*12</f>
        <v>19608</v>
      </c>
      <c r="N28" s="48">
        <f>1454*12</f>
        <v>17448</v>
      </c>
      <c r="O28" s="21">
        <f>1714*12</f>
        <v>20568</v>
      </c>
      <c r="P28" s="21">
        <f>1933*12</f>
        <v>23196</v>
      </c>
      <c r="Q28" s="31">
        <f>1312*12</f>
        <v>15744</v>
      </c>
    </row>
    <row r="29" spans="1:17" ht="30" thickBot="1" x14ac:dyDescent="0.3">
      <c r="A29" s="20" t="s">
        <v>60</v>
      </c>
      <c r="B29" s="7">
        <f>+C29*B25</f>
        <v>0</v>
      </c>
      <c r="C29" s="78">
        <v>0</v>
      </c>
      <c r="E29" s="43" t="s">
        <v>4</v>
      </c>
      <c r="F29" s="50">
        <v>2000</v>
      </c>
      <c r="G29" s="51">
        <f>186*12</f>
        <v>2232</v>
      </c>
      <c r="H29" s="38">
        <f>246*12</f>
        <v>2952</v>
      </c>
      <c r="I29" s="39"/>
      <c r="J29" s="50">
        <f>3024*12</f>
        <v>36288</v>
      </c>
      <c r="K29" s="32">
        <f>3567*12</f>
        <v>42804</v>
      </c>
      <c r="L29" s="32">
        <f>4026*12</f>
        <v>48312</v>
      </c>
      <c r="M29" s="33">
        <f>2724*12</f>
        <v>32688</v>
      </c>
      <c r="N29" s="50">
        <f>2424*12</f>
        <v>29088</v>
      </c>
      <c r="O29" s="32">
        <f>2856*12</f>
        <v>34272</v>
      </c>
      <c r="P29" s="32">
        <f>3222*12</f>
        <v>38664</v>
      </c>
      <c r="Q29" s="33">
        <f>2187*12</f>
        <v>26244</v>
      </c>
    </row>
    <row r="30" spans="1:17" ht="15" x14ac:dyDescent="0.25">
      <c r="A30" s="8" t="s">
        <v>5</v>
      </c>
      <c r="B30" s="7">
        <f>SUM(B26:B29)</f>
        <v>0</v>
      </c>
    </row>
    <row r="31" spans="1:17" ht="39" customHeight="1" x14ac:dyDescent="0.25">
      <c r="A31" s="22" t="s">
        <v>75</v>
      </c>
      <c r="B31" s="58"/>
    </row>
    <row r="32" spans="1:17" ht="15" x14ac:dyDescent="0.25">
      <c r="A32" s="28"/>
      <c r="B32" s="58"/>
      <c r="E32" s="29"/>
      <c r="F32" s="30"/>
      <c r="G32" s="27"/>
      <c r="H32" s="27"/>
      <c r="I32" s="27"/>
      <c r="J32" s="30"/>
      <c r="K32" s="30"/>
      <c r="L32" s="30"/>
      <c r="M32" s="30"/>
    </row>
    <row r="33" spans="1:7" ht="15" x14ac:dyDescent="0.25">
      <c r="A33" s="57" t="s">
        <v>56</v>
      </c>
      <c r="B33" s="59"/>
    </row>
    <row r="34" spans="1:7" ht="28.5" x14ac:dyDescent="0.2">
      <c r="A34" s="3" t="s">
        <v>69</v>
      </c>
      <c r="B34" s="77">
        <v>0</v>
      </c>
    </row>
    <row r="35" spans="1:7" ht="28.5" x14ac:dyDescent="0.2">
      <c r="A35" s="10" t="s">
        <v>70</v>
      </c>
      <c r="B35" s="77">
        <v>0</v>
      </c>
    </row>
    <row r="36" spans="1:7" ht="28.5" x14ac:dyDescent="0.2">
      <c r="A36" s="10" t="s">
        <v>76</v>
      </c>
      <c r="B36" s="78">
        <v>0</v>
      </c>
    </row>
    <row r="37" spans="1:7" ht="14.25" x14ac:dyDescent="0.2">
      <c r="A37" s="10" t="s">
        <v>101</v>
      </c>
      <c r="B37" s="78">
        <v>0</v>
      </c>
    </row>
    <row r="38" spans="1:7" ht="28.5" x14ac:dyDescent="0.2">
      <c r="A38" s="23" t="s">
        <v>71</v>
      </c>
      <c r="B38" s="77">
        <v>0</v>
      </c>
    </row>
    <row r="39" spans="1:7" ht="30" x14ac:dyDescent="0.25">
      <c r="A39" s="8" t="s">
        <v>57</v>
      </c>
      <c r="B39" s="5">
        <f>SUM(B34:B38)</f>
        <v>0</v>
      </c>
    </row>
    <row r="40" spans="1:7" ht="15" x14ac:dyDescent="0.25">
      <c r="A40" s="8"/>
      <c r="B40" s="5"/>
      <c r="C40" s="9"/>
      <c r="D40" s="9"/>
    </row>
    <row r="41" spans="1:7" ht="18" x14ac:dyDescent="0.2">
      <c r="A41" s="103" t="s">
        <v>93</v>
      </c>
      <c r="B41" s="67">
        <f>B20+B22+B30+B39</f>
        <v>0</v>
      </c>
    </row>
    <row r="42" spans="1:7" ht="15" x14ac:dyDescent="0.25">
      <c r="B42" s="12"/>
    </row>
    <row r="43" spans="1:7" ht="15.75" x14ac:dyDescent="0.25">
      <c r="A43" s="72" t="s">
        <v>24</v>
      </c>
      <c r="B43" s="70"/>
      <c r="G43" s="17"/>
    </row>
    <row r="44" spans="1:7" ht="14.25" x14ac:dyDescent="0.2">
      <c r="A44" s="13" t="s">
        <v>7</v>
      </c>
      <c r="B44" s="7">
        <f>+B10</f>
        <v>0</v>
      </c>
      <c r="G44" s="17"/>
    </row>
    <row r="45" spans="1:7" ht="14.25" x14ac:dyDescent="0.2">
      <c r="A45" s="3" t="s">
        <v>59</v>
      </c>
      <c r="B45" s="7">
        <f>B19</f>
        <v>0</v>
      </c>
      <c r="G45" s="17"/>
    </row>
    <row r="46" spans="1:7" ht="14.25" x14ac:dyDescent="0.2">
      <c r="A46" s="6" t="s">
        <v>33</v>
      </c>
      <c r="B46" s="7">
        <f>SUM(B44:B45)</f>
        <v>0</v>
      </c>
      <c r="G46" s="17"/>
    </row>
    <row r="47" spans="1:7" ht="14.25" x14ac:dyDescent="0.2">
      <c r="A47" s="13" t="s">
        <v>8</v>
      </c>
      <c r="B47" s="7">
        <f>B46*6.2%</f>
        <v>0</v>
      </c>
      <c r="G47" s="17"/>
    </row>
    <row r="48" spans="1:7" ht="14.25" x14ac:dyDescent="0.2">
      <c r="A48" s="16" t="s">
        <v>9</v>
      </c>
      <c r="B48" s="7">
        <f>B46*1.45%</f>
        <v>0</v>
      </c>
      <c r="E48" s="18"/>
      <c r="G48" s="17"/>
    </row>
    <row r="49" spans="1:7" ht="14.25" x14ac:dyDescent="0.2">
      <c r="A49" s="13" t="s">
        <v>47</v>
      </c>
      <c r="B49" s="7">
        <f>SUM(B47:B48)</f>
        <v>0</v>
      </c>
      <c r="E49" s="18"/>
      <c r="G49" s="17"/>
    </row>
    <row r="50" spans="1:7" ht="14.25" x14ac:dyDescent="0.2">
      <c r="A50" s="15"/>
      <c r="B50" s="24"/>
      <c r="G50" s="17"/>
    </row>
    <row r="51" spans="1:7" ht="15" x14ac:dyDescent="0.25">
      <c r="B51" s="12"/>
    </row>
    <row r="52" spans="1:7" ht="15.75" x14ac:dyDescent="0.25">
      <c r="A52" s="72" t="s">
        <v>23</v>
      </c>
      <c r="B52" s="73"/>
    </row>
    <row r="53" spans="1:7" ht="14.25" x14ac:dyDescent="0.2">
      <c r="A53" s="13" t="s">
        <v>34</v>
      </c>
      <c r="B53" s="14">
        <f>+B12</f>
        <v>0</v>
      </c>
    </row>
    <row r="54" spans="1:7" ht="14.25" x14ac:dyDescent="0.2">
      <c r="A54" s="3" t="s">
        <v>58</v>
      </c>
      <c r="B54" s="14">
        <f>B19</f>
        <v>0</v>
      </c>
      <c r="G54" s="17"/>
    </row>
    <row r="55" spans="1:7" ht="14.25" x14ac:dyDescent="0.2">
      <c r="A55" s="13" t="s">
        <v>6</v>
      </c>
      <c r="B55" s="14">
        <f>SUM(B53:B54)</f>
        <v>0</v>
      </c>
      <c r="G55" s="17"/>
    </row>
    <row r="56" spans="1:7" ht="14.25" x14ac:dyDescent="0.2">
      <c r="A56" s="13" t="s">
        <v>46</v>
      </c>
      <c r="B56" s="14">
        <f>(B55*0.18)</f>
        <v>0</v>
      </c>
      <c r="G56" s="17"/>
    </row>
    <row r="57" spans="1:7" ht="14.25" x14ac:dyDescent="0.2">
      <c r="A57" s="15"/>
      <c r="B57" s="106"/>
      <c r="G57" s="17"/>
    </row>
    <row r="58" spans="1:7" x14ac:dyDescent="0.2">
      <c r="G58" s="17"/>
    </row>
    <row r="59" spans="1:7" ht="15.75" x14ac:dyDescent="0.25">
      <c r="A59" s="61" t="s">
        <v>31</v>
      </c>
      <c r="B59" s="62"/>
      <c r="G59" s="17"/>
    </row>
    <row r="60" spans="1:7" x14ac:dyDescent="0.2">
      <c r="A60" s="63" t="s">
        <v>32</v>
      </c>
      <c r="B60" s="64"/>
    </row>
    <row r="61" spans="1:7" x14ac:dyDescent="0.2">
      <c r="A61" s="65"/>
      <c r="B61" s="64"/>
    </row>
    <row r="62" spans="1:7" ht="14.25" x14ac:dyDescent="0.2">
      <c r="A62" s="3" t="s">
        <v>40</v>
      </c>
      <c r="B62" s="60">
        <f>+B66-B65-B64</f>
        <v>0</v>
      </c>
    </row>
    <row r="63" spans="1:7" ht="14.25" x14ac:dyDescent="0.2">
      <c r="A63" s="3" t="s">
        <v>104</v>
      </c>
      <c r="B63" s="66">
        <f>+B37</f>
        <v>0</v>
      </c>
    </row>
    <row r="64" spans="1:7" ht="28.5" x14ac:dyDescent="0.2">
      <c r="A64" s="3" t="s">
        <v>77</v>
      </c>
      <c r="B64" s="79">
        <v>0</v>
      </c>
    </row>
    <row r="65" spans="1:2" ht="14.25" x14ac:dyDescent="0.2">
      <c r="A65" s="3" t="s">
        <v>97</v>
      </c>
      <c r="B65" s="66">
        <f>+B11</f>
        <v>0</v>
      </c>
    </row>
    <row r="66" spans="1:2" ht="14.25" x14ac:dyDescent="0.2">
      <c r="A66" s="3" t="s">
        <v>103</v>
      </c>
      <c r="B66" s="66">
        <f>+B20</f>
        <v>0</v>
      </c>
    </row>
    <row r="67" spans="1:2" x14ac:dyDescent="0.2">
      <c r="B67" s="25"/>
    </row>
  </sheetData>
  <mergeCells count="6">
    <mergeCell ref="O24:Q24"/>
    <mergeCell ref="A2:B2"/>
    <mergeCell ref="A3:B3"/>
    <mergeCell ref="A1:B1"/>
    <mergeCell ref="H24:I24"/>
    <mergeCell ref="K24:M24"/>
  </mergeCells>
  <pageMargins left="0.25" right="0.25" top="0.75" bottom="0.75" header="0.3" footer="0.3"/>
  <pageSetup scale="46" fitToHeight="0" orientation="landscape" r:id="rId1"/>
  <rowBreaks count="1" manualBreakCount="1">
    <brk id="41"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549AAF-6716-4E9B-895D-03F1285E2627}">
  <dimension ref="A1:Q88"/>
  <sheetViews>
    <sheetView workbookViewId="0">
      <selection activeCell="B73" sqref="B73"/>
    </sheetView>
  </sheetViews>
  <sheetFormatPr defaultColWidth="10.7109375" defaultRowHeight="12.75" x14ac:dyDescent="0.2"/>
  <cols>
    <col min="1" max="1" width="82.42578125" customWidth="1"/>
    <col min="2" max="2" width="26" customWidth="1"/>
    <col min="3" max="3" width="17.7109375" customWidth="1"/>
    <col min="4" max="4" width="3.42578125" customWidth="1"/>
    <col min="5" max="5" width="17.140625" customWidth="1"/>
    <col min="6" max="6" width="12.85546875" customWidth="1"/>
    <col min="7" max="7" width="13.5703125" customWidth="1"/>
    <col min="8" max="8" width="20.42578125" customWidth="1"/>
    <col min="10" max="11" width="11.5703125" bestFit="1" customWidth="1"/>
    <col min="12" max="12" width="11.85546875" bestFit="1" customWidth="1"/>
    <col min="13" max="13" width="11.5703125" bestFit="1" customWidth="1"/>
    <col min="14" max="17" width="11.85546875" bestFit="1" customWidth="1"/>
  </cols>
  <sheetData>
    <row r="1" spans="1:7" ht="18" x14ac:dyDescent="0.25">
      <c r="A1" s="94" t="s">
        <v>16</v>
      </c>
      <c r="B1" s="94"/>
    </row>
    <row r="2" spans="1:7" ht="18" x14ac:dyDescent="0.25">
      <c r="A2" s="92" t="s">
        <v>17</v>
      </c>
      <c r="B2" s="92"/>
    </row>
    <row r="3" spans="1:7" ht="18" x14ac:dyDescent="0.2">
      <c r="A3" s="93" t="s">
        <v>48</v>
      </c>
      <c r="B3" s="93"/>
    </row>
    <row r="5" spans="1:7" ht="18" x14ac:dyDescent="0.25">
      <c r="A5" s="26" t="s">
        <v>49</v>
      </c>
      <c r="B5" s="2"/>
      <c r="G5" s="17"/>
    </row>
    <row r="6" spans="1:7" ht="15" x14ac:dyDescent="0.25">
      <c r="A6" s="1" t="s">
        <v>50</v>
      </c>
      <c r="B6" s="76">
        <v>0</v>
      </c>
      <c r="G6" s="17"/>
    </row>
    <row r="7" spans="1:7" ht="14.25" x14ac:dyDescent="0.2">
      <c r="A7" s="13" t="s">
        <v>62</v>
      </c>
      <c r="B7" s="77">
        <v>0</v>
      </c>
      <c r="G7" s="17"/>
    </row>
    <row r="8" spans="1:7" ht="14.25" x14ac:dyDescent="0.2">
      <c r="A8" s="3" t="s">
        <v>25</v>
      </c>
      <c r="B8" s="4">
        <f>+(B7)*0.027</f>
        <v>0</v>
      </c>
      <c r="G8" s="17"/>
    </row>
    <row r="9" spans="1:7" ht="14.25" x14ac:dyDescent="0.2">
      <c r="A9" s="3" t="s">
        <v>15</v>
      </c>
      <c r="B9" s="4">
        <f>500*B6</f>
        <v>0</v>
      </c>
      <c r="G9" s="17"/>
    </row>
    <row r="10" spans="1:7" ht="14.25" x14ac:dyDescent="0.2">
      <c r="A10" s="99" t="s">
        <v>85</v>
      </c>
      <c r="B10" s="4">
        <f>SUM(B7:B9)</f>
        <v>0</v>
      </c>
      <c r="G10" s="17"/>
    </row>
    <row r="11" spans="1:7" ht="14.25" x14ac:dyDescent="0.2">
      <c r="A11" s="74" t="s">
        <v>94</v>
      </c>
      <c r="B11" s="75">
        <f>B55</f>
        <v>0</v>
      </c>
    </row>
    <row r="12" spans="1:7" ht="15" x14ac:dyDescent="0.25">
      <c r="A12" s="1" t="s">
        <v>41</v>
      </c>
      <c r="B12" s="5">
        <f>+B10+B11</f>
        <v>0</v>
      </c>
    </row>
    <row r="13" spans="1:7" ht="14.25" x14ac:dyDescent="0.2">
      <c r="A13" s="6"/>
      <c r="B13" s="7"/>
    </row>
    <row r="14" spans="1:7" ht="15" x14ac:dyDescent="0.25">
      <c r="A14" s="8" t="s">
        <v>51</v>
      </c>
      <c r="B14" s="7"/>
    </row>
    <row r="15" spans="1:7" ht="42.75" x14ac:dyDescent="0.2">
      <c r="A15" s="3" t="s">
        <v>68</v>
      </c>
      <c r="B15" s="78">
        <v>0</v>
      </c>
    </row>
    <row r="16" spans="1:7" ht="42.75" x14ac:dyDescent="0.2">
      <c r="A16" s="98" t="s">
        <v>79</v>
      </c>
      <c r="B16" s="77">
        <v>0</v>
      </c>
      <c r="C16" s="17"/>
      <c r="G16" s="17"/>
    </row>
    <row r="17" spans="1:17" ht="28.5" x14ac:dyDescent="0.2">
      <c r="A17" s="10" t="s">
        <v>66</v>
      </c>
      <c r="B17" s="78">
        <v>0</v>
      </c>
    </row>
    <row r="18" spans="1:17" ht="42.75" x14ac:dyDescent="0.2">
      <c r="A18" s="10" t="s">
        <v>74</v>
      </c>
      <c r="B18" s="78">
        <v>0</v>
      </c>
    </row>
    <row r="19" spans="1:17" ht="14.25" x14ac:dyDescent="0.2">
      <c r="A19" s="23" t="s">
        <v>90</v>
      </c>
      <c r="B19" s="78">
        <v>0</v>
      </c>
    </row>
    <row r="20" spans="1:17" ht="15" x14ac:dyDescent="0.25">
      <c r="A20" s="8" t="s">
        <v>52</v>
      </c>
      <c r="B20" s="5">
        <f>SUM(B15:B19)</f>
        <v>0</v>
      </c>
    </row>
    <row r="21" spans="1:17" ht="15" x14ac:dyDescent="0.25">
      <c r="A21" s="8"/>
      <c r="B21" s="5"/>
    </row>
    <row r="22" spans="1:17" ht="15" x14ac:dyDescent="0.25">
      <c r="A22" s="8"/>
      <c r="B22" s="5"/>
    </row>
    <row r="23" spans="1:17" ht="15" x14ac:dyDescent="0.25">
      <c r="A23" s="68" t="s">
        <v>53</v>
      </c>
      <c r="B23" s="69">
        <f>B12+B20</f>
        <v>0</v>
      </c>
    </row>
    <row r="24" spans="1:17" ht="15" x14ac:dyDescent="0.25">
      <c r="A24" s="8"/>
      <c r="B24" s="5"/>
    </row>
    <row r="25" spans="1:17" ht="15" x14ac:dyDescent="0.25">
      <c r="A25" s="70" t="s">
        <v>95</v>
      </c>
      <c r="B25" s="71">
        <f>B64</f>
        <v>0</v>
      </c>
    </row>
    <row r="26" spans="1:17" ht="15" thickBot="1" x14ac:dyDescent="0.25">
      <c r="A26" s="6"/>
      <c r="B26" s="7"/>
    </row>
    <row r="27" spans="1:17" ht="64.5" x14ac:dyDescent="0.25">
      <c r="A27" s="44" t="s">
        <v>0</v>
      </c>
      <c r="B27" s="83" t="s">
        <v>35</v>
      </c>
      <c r="C27" s="83" t="s">
        <v>36</v>
      </c>
      <c r="E27" s="40"/>
      <c r="F27" s="45" t="s">
        <v>22</v>
      </c>
      <c r="G27" s="55" t="s">
        <v>14</v>
      </c>
      <c r="H27" s="95" t="s">
        <v>42</v>
      </c>
      <c r="I27" s="96"/>
      <c r="J27" s="56" t="s">
        <v>14</v>
      </c>
      <c r="K27" s="90" t="s">
        <v>43</v>
      </c>
      <c r="L27" s="90"/>
      <c r="M27" s="91"/>
      <c r="N27" s="56" t="s">
        <v>39</v>
      </c>
      <c r="O27" s="90" t="s">
        <v>44</v>
      </c>
      <c r="P27" s="90"/>
      <c r="Q27" s="91"/>
    </row>
    <row r="28" spans="1:17" ht="60" x14ac:dyDescent="0.25">
      <c r="A28" s="11" t="s">
        <v>54</v>
      </c>
      <c r="B28" s="82">
        <v>0</v>
      </c>
      <c r="E28" s="41" t="s">
        <v>26</v>
      </c>
      <c r="F28" s="46" t="s">
        <v>20</v>
      </c>
      <c r="G28" s="47" t="s">
        <v>19</v>
      </c>
      <c r="H28" s="34" t="s">
        <v>18</v>
      </c>
      <c r="I28" s="35"/>
      <c r="J28" s="46" t="s">
        <v>21</v>
      </c>
      <c r="K28" s="52" t="s">
        <v>12</v>
      </c>
      <c r="L28" s="52" t="s">
        <v>13</v>
      </c>
      <c r="M28" s="53" t="s">
        <v>11</v>
      </c>
      <c r="N28" s="46" t="s">
        <v>27</v>
      </c>
      <c r="O28" s="54" t="s">
        <v>28</v>
      </c>
      <c r="P28" s="54" t="s">
        <v>29</v>
      </c>
      <c r="Q28" s="47" t="s">
        <v>30</v>
      </c>
    </row>
    <row r="29" spans="1:17" ht="28.5" x14ac:dyDescent="0.2">
      <c r="A29" s="19" t="s">
        <v>37</v>
      </c>
      <c r="B29" s="7">
        <f>+C29*B28</f>
        <v>0</v>
      </c>
      <c r="C29" s="80">
        <v>0</v>
      </c>
      <c r="E29" s="42" t="s">
        <v>1</v>
      </c>
      <c r="F29" s="48">
        <v>1500</v>
      </c>
      <c r="G29" s="49">
        <f>62*12</f>
        <v>744</v>
      </c>
      <c r="H29" s="36">
        <f>82*12</f>
        <v>984</v>
      </c>
      <c r="I29" s="37"/>
      <c r="J29" s="48">
        <f>1008*12</f>
        <v>12096</v>
      </c>
      <c r="K29" s="21">
        <f>1189*12</f>
        <v>14268</v>
      </c>
      <c r="L29" s="21">
        <f>1342*12</f>
        <v>16104</v>
      </c>
      <c r="M29" s="31">
        <f>908*12</f>
        <v>10896</v>
      </c>
      <c r="N29" s="48">
        <f>808*12</f>
        <v>9696</v>
      </c>
      <c r="O29" s="21">
        <f>952*12</f>
        <v>11424</v>
      </c>
      <c r="P29" s="21">
        <f>1074*12</f>
        <v>12888</v>
      </c>
      <c r="Q29" s="31">
        <f>729*12</f>
        <v>8748</v>
      </c>
    </row>
    <row r="30" spans="1:17" ht="28.5" x14ac:dyDescent="0.2">
      <c r="A30" s="19" t="s">
        <v>38</v>
      </c>
      <c r="B30" s="7">
        <f>+C30*B28</f>
        <v>0</v>
      </c>
      <c r="C30" s="78">
        <v>0</v>
      </c>
      <c r="E30" s="42" t="s">
        <v>2</v>
      </c>
      <c r="F30" s="48">
        <v>2000</v>
      </c>
      <c r="G30" s="49">
        <f>124*12</f>
        <v>1488</v>
      </c>
      <c r="H30" s="36">
        <f>164*12</f>
        <v>1968</v>
      </c>
      <c r="I30" s="37"/>
      <c r="J30" s="48">
        <f>2016*12</f>
        <v>24192</v>
      </c>
      <c r="K30" s="21">
        <f>2378*12</f>
        <v>28536</v>
      </c>
      <c r="L30" s="21">
        <f>2684*12</f>
        <v>32208</v>
      </c>
      <c r="M30" s="31">
        <f>1816*12</f>
        <v>21792</v>
      </c>
      <c r="N30" s="48">
        <f>1616*12</f>
        <v>19392</v>
      </c>
      <c r="O30" s="21">
        <f>1904*12</f>
        <v>22848</v>
      </c>
      <c r="P30" s="21">
        <f>2148*12</f>
        <v>25776</v>
      </c>
      <c r="Q30" s="31">
        <f>1458*12</f>
        <v>17496</v>
      </c>
    </row>
    <row r="31" spans="1:17" ht="42.75" x14ac:dyDescent="0.2">
      <c r="A31" s="20" t="s">
        <v>72</v>
      </c>
      <c r="B31" s="7"/>
      <c r="C31" s="81">
        <v>0</v>
      </c>
      <c r="E31" s="42" t="s">
        <v>3</v>
      </c>
      <c r="F31" s="48">
        <v>2000</v>
      </c>
      <c r="G31" s="49">
        <f>112*12</f>
        <v>1344</v>
      </c>
      <c r="H31" s="36">
        <f>148*12</f>
        <v>1776</v>
      </c>
      <c r="I31" s="37"/>
      <c r="J31" s="48">
        <f>1814*12</f>
        <v>21768</v>
      </c>
      <c r="K31" s="21">
        <f>2140*12</f>
        <v>25680</v>
      </c>
      <c r="L31" s="21">
        <f>2416*12</f>
        <v>28992</v>
      </c>
      <c r="M31" s="31">
        <f>1634*12</f>
        <v>19608</v>
      </c>
      <c r="N31" s="48">
        <f>1454*12</f>
        <v>17448</v>
      </c>
      <c r="O31" s="21">
        <f>1714*12</f>
        <v>20568</v>
      </c>
      <c r="P31" s="21">
        <f>1933*12</f>
        <v>23196</v>
      </c>
      <c r="Q31" s="31">
        <f>1312*12</f>
        <v>15744</v>
      </c>
    </row>
    <row r="32" spans="1:17" ht="30" thickBot="1" x14ac:dyDescent="0.3">
      <c r="A32" s="20" t="s">
        <v>61</v>
      </c>
      <c r="B32" s="7">
        <f>+C32*B28</f>
        <v>0</v>
      </c>
      <c r="C32" s="78">
        <v>0</v>
      </c>
      <c r="E32" s="43" t="s">
        <v>4</v>
      </c>
      <c r="F32" s="50">
        <v>2000</v>
      </c>
      <c r="G32" s="51">
        <f>186*12</f>
        <v>2232</v>
      </c>
      <c r="H32" s="38">
        <f>246*12</f>
        <v>2952</v>
      </c>
      <c r="I32" s="39"/>
      <c r="J32" s="50">
        <f>3024*12</f>
        <v>36288</v>
      </c>
      <c r="K32" s="32">
        <f>3567*12</f>
        <v>42804</v>
      </c>
      <c r="L32" s="32">
        <f>4026*12</f>
        <v>48312</v>
      </c>
      <c r="M32" s="33">
        <f>2724*12</f>
        <v>32688</v>
      </c>
      <c r="N32" s="50">
        <f>2424*12</f>
        <v>29088</v>
      </c>
      <c r="O32" s="32">
        <f>2856*12</f>
        <v>34272</v>
      </c>
      <c r="P32" s="32">
        <f>3222*12</f>
        <v>38664</v>
      </c>
      <c r="Q32" s="33">
        <f>2187*12</f>
        <v>26244</v>
      </c>
    </row>
    <row r="33" spans="1:13" ht="15" x14ac:dyDescent="0.25">
      <c r="A33" s="8" t="s">
        <v>5</v>
      </c>
      <c r="B33" s="7">
        <f>SUM(B29:B32)</f>
        <v>0</v>
      </c>
    </row>
    <row r="34" spans="1:13" ht="39" customHeight="1" x14ac:dyDescent="0.25">
      <c r="A34" s="22" t="s">
        <v>81</v>
      </c>
      <c r="B34" s="58"/>
    </row>
    <row r="35" spans="1:13" ht="15" x14ac:dyDescent="0.25">
      <c r="A35" s="28"/>
      <c r="B35" s="58"/>
      <c r="E35" s="29"/>
      <c r="F35" s="30"/>
      <c r="G35" s="27"/>
      <c r="H35" s="27"/>
      <c r="I35" s="27"/>
      <c r="J35" s="30"/>
      <c r="K35" s="30"/>
      <c r="L35" s="30"/>
      <c r="M35" s="30"/>
    </row>
    <row r="36" spans="1:13" ht="15" x14ac:dyDescent="0.25">
      <c r="A36" s="57" t="s">
        <v>56</v>
      </c>
      <c r="B36" s="59"/>
    </row>
    <row r="37" spans="1:13" ht="28.5" x14ac:dyDescent="0.2">
      <c r="A37" s="3" t="s">
        <v>69</v>
      </c>
      <c r="B37" s="77">
        <v>0</v>
      </c>
    </row>
    <row r="38" spans="1:13" ht="28.5" x14ac:dyDescent="0.2">
      <c r="A38" s="3" t="s">
        <v>80</v>
      </c>
      <c r="B38" s="77"/>
    </row>
    <row r="39" spans="1:13" ht="28.5" x14ac:dyDescent="0.2">
      <c r="A39" s="10" t="s">
        <v>70</v>
      </c>
      <c r="B39" s="77">
        <v>0</v>
      </c>
    </row>
    <row r="40" spans="1:13" ht="28.5" x14ac:dyDescent="0.2">
      <c r="A40" s="10" t="s">
        <v>76</v>
      </c>
      <c r="B40" s="78">
        <v>0</v>
      </c>
    </row>
    <row r="41" spans="1:13" ht="14.25" x14ac:dyDescent="0.2">
      <c r="A41" s="10" t="s">
        <v>89</v>
      </c>
      <c r="B41" s="78">
        <v>0</v>
      </c>
    </row>
    <row r="42" spans="1:13" ht="28.5" x14ac:dyDescent="0.2">
      <c r="A42" s="23" t="s">
        <v>71</v>
      </c>
      <c r="B42" s="77">
        <v>0</v>
      </c>
    </row>
    <row r="43" spans="1:13" ht="30" x14ac:dyDescent="0.25">
      <c r="A43" s="8" t="s">
        <v>57</v>
      </c>
      <c r="B43" s="5">
        <f>SUM(B37:B42)</f>
        <v>0</v>
      </c>
    </row>
    <row r="44" spans="1:13" ht="15" x14ac:dyDescent="0.25">
      <c r="A44" s="8"/>
      <c r="B44" s="5"/>
      <c r="C44" s="9"/>
      <c r="D44" s="9"/>
    </row>
    <row r="45" spans="1:13" ht="18" x14ac:dyDescent="0.2">
      <c r="A45" s="103" t="s">
        <v>93</v>
      </c>
      <c r="B45" s="67">
        <f>B23+B25+B33+B43</f>
        <v>0</v>
      </c>
    </row>
    <row r="46" spans="1:13" ht="15" x14ac:dyDescent="0.25">
      <c r="B46" s="12"/>
    </row>
    <row r="47" spans="1:13" ht="15.75" x14ac:dyDescent="0.25">
      <c r="A47" s="72" t="s">
        <v>24</v>
      </c>
      <c r="B47" s="70"/>
    </row>
    <row r="48" spans="1:13" ht="14.25" x14ac:dyDescent="0.2">
      <c r="A48" s="100" t="s">
        <v>84</v>
      </c>
      <c r="B48" s="7">
        <f>+B10</f>
        <v>0</v>
      </c>
    </row>
    <row r="49" spans="1:8" ht="14.25" x14ac:dyDescent="0.2">
      <c r="A49" s="98" t="s">
        <v>58</v>
      </c>
      <c r="B49" s="7">
        <f>B20</f>
        <v>0</v>
      </c>
    </row>
    <row r="50" spans="1:8" ht="28.5" x14ac:dyDescent="0.2">
      <c r="A50" s="98" t="s">
        <v>100</v>
      </c>
      <c r="B50" s="78"/>
    </row>
    <row r="51" spans="1:8" ht="14.25" x14ac:dyDescent="0.2">
      <c r="A51" s="98" t="s">
        <v>105</v>
      </c>
      <c r="B51" s="78">
        <v>0</v>
      </c>
      <c r="G51" s="17"/>
      <c r="H51" s="84"/>
    </row>
    <row r="52" spans="1:8" ht="14.25" x14ac:dyDescent="0.2">
      <c r="A52" s="6" t="s">
        <v>33</v>
      </c>
      <c r="B52" s="7">
        <f>SUM(B48:B51)</f>
        <v>0</v>
      </c>
      <c r="G52" s="17"/>
    </row>
    <row r="53" spans="1:8" ht="14.25" x14ac:dyDescent="0.2">
      <c r="A53" s="13" t="s">
        <v>8</v>
      </c>
      <c r="B53" s="7">
        <f>B52*6.2%</f>
        <v>0</v>
      </c>
      <c r="G53" s="17"/>
    </row>
    <row r="54" spans="1:8" ht="14.25" x14ac:dyDescent="0.2">
      <c r="A54" s="16" t="s">
        <v>9</v>
      </c>
      <c r="B54" s="7">
        <f>B52*1.45%</f>
        <v>0</v>
      </c>
      <c r="E54" s="18"/>
      <c r="G54" s="17"/>
    </row>
    <row r="55" spans="1:8" ht="14.25" x14ac:dyDescent="0.2">
      <c r="A55" s="13" t="s">
        <v>47</v>
      </c>
      <c r="B55" s="87">
        <f>SUM(B53:B54)</f>
        <v>0</v>
      </c>
      <c r="E55" s="18"/>
      <c r="G55" s="17"/>
    </row>
    <row r="56" spans="1:8" ht="15" x14ac:dyDescent="0.25">
      <c r="B56" s="12"/>
    </row>
    <row r="57" spans="1:8" ht="15" x14ac:dyDescent="0.25">
      <c r="B57" s="12"/>
    </row>
    <row r="58" spans="1:8" ht="15.75" x14ac:dyDescent="0.25">
      <c r="A58" s="72" t="s">
        <v>23</v>
      </c>
      <c r="B58" s="73"/>
    </row>
    <row r="59" spans="1:8" ht="14.25" x14ac:dyDescent="0.2">
      <c r="A59" s="100" t="s">
        <v>87</v>
      </c>
      <c r="B59" s="14">
        <f>+B12</f>
        <v>0</v>
      </c>
    </row>
    <row r="60" spans="1:8" ht="14.25" x14ac:dyDescent="0.2">
      <c r="A60" s="98" t="s">
        <v>58</v>
      </c>
      <c r="B60" s="14">
        <f>B20</f>
        <v>0</v>
      </c>
      <c r="G60" s="17"/>
    </row>
    <row r="61" spans="1:8" ht="14.25" x14ac:dyDescent="0.2">
      <c r="A61" s="98" t="s">
        <v>10</v>
      </c>
      <c r="B61" s="4">
        <f>B68</f>
        <v>0</v>
      </c>
    </row>
    <row r="62" spans="1:8" ht="14.25" x14ac:dyDescent="0.2">
      <c r="A62" s="98" t="s">
        <v>105</v>
      </c>
      <c r="B62" s="78">
        <v>0</v>
      </c>
    </row>
    <row r="63" spans="1:8" ht="14.25" x14ac:dyDescent="0.2">
      <c r="A63" s="13" t="s">
        <v>6</v>
      </c>
      <c r="B63" s="14">
        <f>SUM(B59:B62)</f>
        <v>0</v>
      </c>
      <c r="G63" s="17"/>
    </row>
    <row r="64" spans="1:8" ht="14.25" x14ac:dyDescent="0.2">
      <c r="A64" s="13" t="s">
        <v>99</v>
      </c>
      <c r="B64" s="88">
        <f>(B63*0.18)</f>
        <v>0</v>
      </c>
      <c r="G64" s="17"/>
    </row>
    <row r="65" spans="1:7" ht="14.25" x14ac:dyDescent="0.2">
      <c r="A65" s="15"/>
      <c r="B65" s="14"/>
      <c r="G65" s="17"/>
    </row>
    <row r="66" spans="1:7" ht="14.25" x14ac:dyDescent="0.2">
      <c r="A66" s="15"/>
      <c r="B66" s="24"/>
      <c r="G66" s="17"/>
    </row>
    <row r="67" spans="1:7" ht="15.75" x14ac:dyDescent="0.25">
      <c r="A67" s="72" t="s">
        <v>63</v>
      </c>
      <c r="B67" s="73"/>
      <c r="G67" s="17"/>
    </row>
    <row r="68" spans="1:7" ht="28.5" x14ac:dyDescent="0.2">
      <c r="A68" s="10" t="s">
        <v>92</v>
      </c>
      <c r="B68" s="97">
        <f>0.05*B23</f>
        <v>0</v>
      </c>
      <c r="G68" s="17"/>
    </row>
    <row r="69" spans="1:7" ht="14.25" x14ac:dyDescent="0.2">
      <c r="A69" s="101"/>
      <c r="B69" s="102"/>
      <c r="G69" s="17"/>
    </row>
    <row r="70" spans="1:7" ht="15.75" x14ac:dyDescent="0.25">
      <c r="A70" s="72" t="s">
        <v>86</v>
      </c>
      <c r="B70" s="73"/>
      <c r="G70" s="17"/>
    </row>
    <row r="71" spans="1:7" ht="14.25" x14ac:dyDescent="0.2">
      <c r="A71" s="100" t="s">
        <v>82</v>
      </c>
      <c r="B71" s="14">
        <f>+B23*0.3</f>
        <v>0</v>
      </c>
      <c r="G71" s="17"/>
    </row>
    <row r="72" spans="1:7" ht="28.5" x14ac:dyDescent="0.2">
      <c r="A72" s="3" t="s">
        <v>88</v>
      </c>
      <c r="B72" s="77">
        <v>0</v>
      </c>
      <c r="G72" s="17"/>
    </row>
    <row r="73" spans="1:7" ht="14.25" x14ac:dyDescent="0.2">
      <c r="A73" s="3" t="s">
        <v>91</v>
      </c>
      <c r="B73" s="14">
        <f>IF(B71&gt;B72,B72,B71)</f>
        <v>0</v>
      </c>
      <c r="G73" s="17"/>
    </row>
    <row r="76" spans="1:7" ht="15.75" x14ac:dyDescent="0.25">
      <c r="A76" s="61" t="s">
        <v>31</v>
      </c>
      <c r="B76" s="62"/>
      <c r="G76" s="17"/>
    </row>
    <row r="77" spans="1:7" x14ac:dyDescent="0.2">
      <c r="A77" s="63" t="s">
        <v>32</v>
      </c>
      <c r="B77" s="64"/>
    </row>
    <row r="78" spans="1:7" x14ac:dyDescent="0.2">
      <c r="A78" s="65"/>
      <c r="B78" s="64"/>
    </row>
    <row r="79" spans="1:7" ht="14.25" x14ac:dyDescent="0.2">
      <c r="A79" s="3" t="s">
        <v>40</v>
      </c>
      <c r="B79" s="60">
        <f>+B83-B82-B81</f>
        <v>0</v>
      </c>
    </row>
    <row r="80" spans="1:7" ht="14.25" x14ac:dyDescent="0.2">
      <c r="A80" s="3" t="s">
        <v>98</v>
      </c>
      <c r="B80" s="66">
        <f>+B41</f>
        <v>0</v>
      </c>
      <c r="E80" s="85"/>
    </row>
    <row r="81" spans="1:7" ht="28.5" x14ac:dyDescent="0.2">
      <c r="A81" s="3" t="s">
        <v>77</v>
      </c>
      <c r="B81" s="79">
        <v>0</v>
      </c>
    </row>
    <row r="82" spans="1:7" ht="14.25" x14ac:dyDescent="0.2">
      <c r="A82" s="3" t="s">
        <v>97</v>
      </c>
      <c r="B82" s="66">
        <f>+B11</f>
        <v>0</v>
      </c>
      <c r="D82" s="17"/>
      <c r="E82" s="17"/>
      <c r="F82" s="17"/>
      <c r="G82" s="17"/>
    </row>
    <row r="83" spans="1:7" ht="14.25" x14ac:dyDescent="0.2">
      <c r="A83" s="3" t="s">
        <v>96</v>
      </c>
      <c r="B83" s="66">
        <f>+B23</f>
        <v>0</v>
      </c>
    </row>
    <row r="84" spans="1:7" x14ac:dyDescent="0.2">
      <c r="B84" s="25"/>
    </row>
    <row r="85" spans="1:7" ht="30" x14ac:dyDescent="0.25">
      <c r="A85" s="89" t="s">
        <v>78</v>
      </c>
    </row>
    <row r="86" spans="1:7" ht="229.5" customHeight="1" x14ac:dyDescent="0.2">
      <c r="A86" s="86" t="s">
        <v>65</v>
      </c>
      <c r="B86" s="104"/>
    </row>
    <row r="88" spans="1:7" x14ac:dyDescent="0.2">
      <c r="A88" s="85" t="s">
        <v>64</v>
      </c>
    </row>
  </sheetData>
  <mergeCells count="6">
    <mergeCell ref="O27:Q27"/>
    <mergeCell ref="A1:B1"/>
    <mergeCell ref="A2:B2"/>
    <mergeCell ref="A3:B3"/>
    <mergeCell ref="H27:I27"/>
    <mergeCell ref="K27:M27"/>
  </mergeCells>
  <hyperlinks>
    <hyperlink ref="A88" r:id="rId1" xr:uid="{D6BA8BC6-8E3A-48E5-A07F-9456ACABB70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2026 TCC no rectory</vt:lpstr>
      <vt:lpstr>2026 TCC with rectory</vt:lpstr>
      <vt:lpstr>'2026 TCC no rectory'!Print_Titles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Rich Sagui</dc:creator>
  <cp:keywords/>
  <dc:description/>
  <cp:lastModifiedBy>Lisa Hamm</cp:lastModifiedBy>
  <cp:revision/>
  <cp:lastPrinted>2025-11-20T17:29:30Z</cp:lastPrinted>
  <dcterms:created xsi:type="dcterms:W3CDTF">2020-05-22T18:35:18Z</dcterms:created>
  <dcterms:modified xsi:type="dcterms:W3CDTF">2025-11-25T18:40:23Z</dcterms:modified>
  <cp:category/>
  <cp:contentStatus/>
</cp:coreProperties>
</file>